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38" activeTab="1"/>
  </bookViews>
  <sheets>
    <sheet name="Instructions" sheetId="1" r:id="rId1"/>
    <sheet name="Contact" sheetId="2" r:id="rId2"/>
    <sheet name="Headers" sheetId="3" state="hidden" r:id="rId3"/>
    <sheet name="Local Revenue" sheetId="4" r:id="rId4"/>
    <sheet name="2014-15 State Foundation " sheetId="5" r:id="rId5"/>
    <sheet name="2015-16 State Foundation " sheetId="6" r:id="rId6"/>
    <sheet name="2016-17 State Foundation" sheetId="7" r:id="rId7"/>
    <sheet name="Total State Revenue" sheetId="8" r:id="rId8"/>
    <sheet name="Federal" sheetId="9" r:id="rId9"/>
    <sheet name="Instruction" sheetId="10" r:id="rId10"/>
    <sheet name="Instruction Change" sheetId="11" r:id="rId11"/>
    <sheet name="Support" sheetId="12" r:id="rId12"/>
    <sheet name="Support Change" sheetId="13" r:id="rId13"/>
    <sheet name="DEP" sheetId="14" r:id="rId14"/>
    <sheet name="Narrative Section" sheetId="15" r:id="rId15"/>
    <sheet name="Monthly report instructions" sheetId="16" r:id="rId16"/>
    <sheet name="Month1Summary2016" sheetId="17" r:id="rId17"/>
    <sheet name="Month1Summary2017" sheetId="18" r:id="rId18"/>
  </sheets>
  <definedNames>
    <definedName name="_xlnm.Print_Area" localSheetId="4">'2014-15 State Foundation '!$A$1:$D$61</definedName>
    <definedName name="_xlnm.Print_Area" localSheetId="5">'2015-16 State Foundation '!$A$1:$D$61</definedName>
    <definedName name="_xlnm.Print_Area" localSheetId="6">'2016-17 State Foundation'!$A$1:$D$61</definedName>
    <definedName name="_xlnm.Print_Area" localSheetId="13">'DEP'!$A$1:$J$44</definedName>
    <definedName name="_xlnm.Print_Area" localSheetId="8">'Federal'!$A$1:$I$41</definedName>
    <definedName name="_xlnm.Print_Area" localSheetId="9">'Instruction'!$A$1:$I$22</definedName>
    <definedName name="_xlnm.Print_Area" localSheetId="10">'Instruction Change'!$A$2:$I$78</definedName>
    <definedName name="_xlnm.Print_Area" localSheetId="11">'Support'!$A$1:$I$30</definedName>
    <definedName name="_xlnm.Print_Area" localSheetId="12">'Support Change'!$A$1:$Q$86</definedName>
    <definedName name="_xlnm.Print_Area" localSheetId="7">'Total State Revenue'!$A$1:$I$31</definedName>
  </definedNames>
  <calcPr fullCalcOnLoad="1"/>
</workbook>
</file>

<file path=xl/sharedStrings.xml><?xml version="1.0" encoding="utf-8"?>
<sst xmlns="http://schemas.openxmlformats.org/spreadsheetml/2006/main" count="1070" uniqueCount="501">
  <si>
    <t>FOR THE MONTH ENDING __________</t>
  </si>
  <si>
    <t>Total</t>
  </si>
  <si>
    <t>Membership:</t>
  </si>
  <si>
    <t>Taxable Value Information</t>
  </si>
  <si>
    <t>Millage Rate</t>
  </si>
  <si>
    <t>1995 Foundation Allowance</t>
  </si>
  <si>
    <t>SE Costs</t>
  </si>
  <si>
    <t>SE Transportation Costs</t>
  </si>
  <si>
    <t>Total FTE BLEND</t>
  </si>
  <si>
    <t>Calculations:</t>
  </si>
  <si>
    <t>Adj for SE Non Residents</t>
  </si>
  <si>
    <t xml:space="preserve">Adj for GE Non Residents </t>
  </si>
  <si>
    <t>51a Special Ed Costs *.286138</t>
  </si>
  <si>
    <t>51a Special Ed Trans Cost *.704165</t>
  </si>
  <si>
    <t>1997 Section 52</t>
  </si>
  <si>
    <t>1997 Section 58</t>
  </si>
  <si>
    <t>Section 51.a3 Hold Harmless</t>
  </si>
  <si>
    <t>Information Available on State Aid Aid Website http://www.michigan.gov/documents/sehh_79613_7.xls</t>
  </si>
  <si>
    <t xml:space="preserve"> Blended GE FTE</t>
  </si>
  <si>
    <t xml:space="preserve"> Blended SE FTE</t>
  </si>
  <si>
    <t>Foundation Information</t>
  </si>
  <si>
    <t>Maximum 1995 Fdtn.</t>
  </si>
  <si>
    <t>SE Obligation</t>
  </si>
  <si>
    <t>CY Calculation Info:</t>
  </si>
  <si>
    <t>Total Section 20 GE Fndtn.</t>
  </si>
  <si>
    <t>Total SE Fndtn.</t>
  </si>
  <si>
    <t>Total CY State Fdtn &amp; SE Oblig.</t>
  </si>
  <si>
    <t>Impact of Changes In Instructional Spending</t>
  </si>
  <si>
    <t>One Time School Closure Allocation</t>
  </si>
  <si>
    <t>Second Chance Alternative Program</t>
  </si>
  <si>
    <t>Increase in Transportation due to No Child Left Behind</t>
  </si>
  <si>
    <t>Wage Increment - Support Services</t>
  </si>
  <si>
    <t>Pupil</t>
  </si>
  <si>
    <t>Instructional</t>
  </si>
  <si>
    <t>General</t>
  </si>
  <si>
    <t>School</t>
  </si>
  <si>
    <t>Business</t>
  </si>
  <si>
    <t>Ops./Maint.</t>
  </si>
  <si>
    <t>Trans.</t>
  </si>
  <si>
    <t>Central</t>
  </si>
  <si>
    <t>Other</t>
  </si>
  <si>
    <t>Outgoing</t>
  </si>
  <si>
    <t>Fund Mod</t>
  </si>
  <si>
    <t>21x</t>
  </si>
  <si>
    <t>22x</t>
  </si>
  <si>
    <t>23x</t>
  </si>
  <si>
    <t>24x</t>
  </si>
  <si>
    <t>25x</t>
  </si>
  <si>
    <t>26x</t>
  </si>
  <si>
    <t>27x</t>
  </si>
  <si>
    <t>28x</t>
  </si>
  <si>
    <t>29x</t>
  </si>
  <si>
    <t>4xx</t>
  </si>
  <si>
    <t>6xx</t>
  </si>
  <si>
    <t xml:space="preserve">School Closure Savings            # of Buildings </t>
  </si>
  <si>
    <t>Unemployment Costs</t>
  </si>
  <si>
    <t>Part-Time Support Staff</t>
  </si>
  <si>
    <t xml:space="preserve">School Closure Costs </t>
  </si>
  <si>
    <t>Funded Vacancies (FTE) Included Above</t>
  </si>
  <si>
    <t>Change in MSPERS</t>
  </si>
  <si>
    <t>Change in Health Care Insurance</t>
  </si>
  <si>
    <t>Change in Worker's Compensation / Risk Management</t>
  </si>
  <si>
    <t>Change in Temporary Salaries</t>
  </si>
  <si>
    <t>Change in Compliance Workers</t>
  </si>
  <si>
    <t xml:space="preserve">Utilities </t>
  </si>
  <si>
    <t xml:space="preserve">Savings from Staff Decrease </t>
  </si>
  <si>
    <t>Program Costs</t>
  </si>
  <si>
    <t>Dual Enrollment</t>
  </si>
  <si>
    <t>Special Ed 122</t>
  </si>
  <si>
    <t>Other Added Needs 125,127</t>
  </si>
  <si>
    <t xml:space="preserve">Wage Increment </t>
  </si>
  <si>
    <t>Change in Purchased Services, Supplies and Textbooks</t>
  </si>
  <si>
    <t>Wage Concessions</t>
  </si>
  <si>
    <t>Comm</t>
  </si>
  <si>
    <t>3xx</t>
  </si>
  <si>
    <t xml:space="preserve">Federal Revenues </t>
  </si>
  <si>
    <t>Special Education</t>
  </si>
  <si>
    <t>Medicaid</t>
  </si>
  <si>
    <t>Title 1</t>
  </si>
  <si>
    <t>Migrant</t>
  </si>
  <si>
    <t>Title III</t>
  </si>
  <si>
    <t>Safe and Drug-Free</t>
  </si>
  <si>
    <t>Homeless</t>
  </si>
  <si>
    <t>Emergency Immigration</t>
  </si>
  <si>
    <t xml:space="preserve">Adult </t>
  </si>
  <si>
    <t>Comprehensive School Reform</t>
  </si>
  <si>
    <t>Vocational Education</t>
  </si>
  <si>
    <t>Technology Literacy</t>
  </si>
  <si>
    <t>Reading First</t>
  </si>
  <si>
    <t xml:space="preserve">Title II </t>
  </si>
  <si>
    <t>Headstart</t>
  </si>
  <si>
    <t>School Lunch Related</t>
  </si>
  <si>
    <t>At Risk</t>
  </si>
  <si>
    <t>Math/Science</t>
  </si>
  <si>
    <t>Renaissance Zone</t>
  </si>
  <si>
    <t>Career Tech</t>
  </si>
  <si>
    <t>Total All Funds
*This should be consistent with the Audited Financial Statements</t>
  </si>
  <si>
    <r>
      <t>Total</t>
    </r>
    <r>
      <rPr>
        <sz val="10"/>
        <rFont val="Arial"/>
        <family val="0"/>
      </rPr>
      <t>--*Should be equal to the difference column for instruction function on DEP</t>
    </r>
  </si>
  <si>
    <t>**Differences greater than 10% need to be explained</t>
  </si>
  <si>
    <t>Title VI</t>
  </si>
  <si>
    <t>Total All Funds
*This should be consistent with SEFA Revenues</t>
  </si>
  <si>
    <t>Other School District Tuition (511)</t>
  </si>
  <si>
    <t>Other School District Transport (512)</t>
  </si>
  <si>
    <t>ISD Collected Millage (513)</t>
  </si>
  <si>
    <t>Compensation for Services Provided to Other Public Schools (518)</t>
  </si>
  <si>
    <t>Other Distributions from Other Public Schools (519)</t>
  </si>
  <si>
    <t>Penalties and Int Earned on Tax (119)</t>
  </si>
  <si>
    <t>Earnings on Investments (15x)</t>
  </si>
  <si>
    <t>Tuition from Individuals (13x)</t>
  </si>
  <si>
    <t>Transport from Individuals (14x)</t>
  </si>
  <si>
    <t>Revenue from Student Activities (17x)</t>
  </si>
  <si>
    <t>Community Service Revenue (18x)</t>
  </si>
  <si>
    <t>Rentals  (191)</t>
  </si>
  <si>
    <t>Private Donations (192)</t>
  </si>
  <si>
    <r>
      <t>Estimated</t>
    </r>
    <r>
      <rPr>
        <sz val="10"/>
        <rFont val="Arial"/>
        <family val="0"/>
      </rPr>
      <t xml:space="preserve"> from Prior Year SE4096</t>
    </r>
  </si>
  <si>
    <r>
      <t>Estimated</t>
    </r>
    <r>
      <rPr>
        <sz val="10"/>
        <rFont val="Arial"/>
        <family val="0"/>
      </rPr>
      <t xml:space="preserve"> from Prior Year SE4094</t>
    </r>
  </si>
  <si>
    <t>Deferred Federal Revenue</t>
  </si>
  <si>
    <t>Account</t>
  </si>
  <si>
    <t>Beginning Fund Equity:</t>
  </si>
  <si>
    <t>Add: Revenues</t>
  </si>
  <si>
    <t>51x</t>
  </si>
  <si>
    <t>2xx</t>
  </si>
  <si>
    <t>Other Political Sub.</t>
  </si>
  <si>
    <t>52x-6xx</t>
  </si>
  <si>
    <t xml:space="preserve">  Incoming Transfers &amp; Other</t>
  </si>
  <si>
    <t>TOTAL REVENUES,ETC.</t>
  </si>
  <si>
    <t>TOTAL RESOURCES AVAILABLE</t>
  </si>
  <si>
    <t>Less:  Expenditures</t>
  </si>
  <si>
    <t>1xx</t>
  </si>
  <si>
    <t xml:space="preserve"> Classroom Inst.</t>
  </si>
  <si>
    <t xml:space="preserve"> Support Services:</t>
  </si>
  <si>
    <t>Inst. Staff</t>
  </si>
  <si>
    <t>Gen. Adm.</t>
  </si>
  <si>
    <t>Sch. Adm.</t>
  </si>
  <si>
    <t>Operation &amp; Maintenance</t>
  </si>
  <si>
    <t>Transportation</t>
  </si>
  <si>
    <t>29X</t>
  </si>
  <si>
    <t xml:space="preserve">Other   </t>
  </si>
  <si>
    <t>Community Services</t>
  </si>
  <si>
    <t>41,42,43,49</t>
  </si>
  <si>
    <t>Outgoing Transfers</t>
  </si>
  <si>
    <t>45x</t>
  </si>
  <si>
    <t>Facilities Acq</t>
  </si>
  <si>
    <t>Debt Service</t>
  </si>
  <si>
    <t>Fund Modifications</t>
  </si>
  <si>
    <t>TOTAL EXP. &amp; OUTGOING TRANSFERS</t>
  </si>
  <si>
    <t>ENDING FUND BALANCE</t>
  </si>
  <si>
    <t>IDEA Pre-School</t>
  </si>
  <si>
    <t>Non-Cluster Direct</t>
  </si>
  <si>
    <t>Various Federal</t>
  </si>
  <si>
    <t>Explain - Breakdown to Various large grants in the Other Categories</t>
  </si>
  <si>
    <t>Other- Explain</t>
  </si>
  <si>
    <t>Other State Worksheet</t>
  </si>
  <si>
    <t>Other - Please Explain</t>
  </si>
  <si>
    <t>Total General Fund
*This should be consistent with GF DEP Local and Other Public School Revenue</t>
  </si>
  <si>
    <t>Local Revenue Worksheet</t>
  </si>
  <si>
    <t>Total General Fund
*This line will populate the DEP State Revenue Line 6</t>
  </si>
  <si>
    <t>Total Local (1xx) This will populate the DEP Line 3</t>
  </si>
  <si>
    <t>Total from other Public Sch (51x) This will populate the DEP line 4</t>
  </si>
  <si>
    <r>
      <t xml:space="preserve">Yearly Increase </t>
    </r>
    <r>
      <rPr>
        <sz val="10"/>
        <color indexed="10"/>
        <rFont val="Arial"/>
        <family val="2"/>
      </rPr>
      <t>(Decrease)</t>
    </r>
  </si>
  <si>
    <r>
      <t xml:space="preserve">% Increase </t>
    </r>
    <r>
      <rPr>
        <sz val="10"/>
        <color indexed="10"/>
        <rFont val="Arial"/>
        <family val="2"/>
      </rPr>
      <t>(Decrease)</t>
    </r>
  </si>
  <si>
    <t>Difference</t>
  </si>
  <si>
    <t>% Change</t>
  </si>
  <si>
    <t>Basic Inst.</t>
  </si>
  <si>
    <t>Special Ed.</t>
  </si>
  <si>
    <t>Adult Ed.</t>
  </si>
  <si>
    <t>Pre-School</t>
  </si>
  <si>
    <t>Function Code</t>
  </si>
  <si>
    <t>111-113</t>
  </si>
  <si>
    <t>125, 127</t>
  </si>
  <si>
    <t>1XX</t>
  </si>
  <si>
    <t>21X</t>
  </si>
  <si>
    <t>22X</t>
  </si>
  <si>
    <t>23X</t>
  </si>
  <si>
    <t xml:space="preserve">School </t>
  </si>
  <si>
    <t>24X</t>
  </si>
  <si>
    <t>25X</t>
  </si>
  <si>
    <t>26X</t>
  </si>
  <si>
    <t>27X</t>
  </si>
  <si>
    <t>28X</t>
  </si>
  <si>
    <t>3XX</t>
  </si>
  <si>
    <t>6XX</t>
  </si>
  <si>
    <t>Community Svc.</t>
  </si>
  <si>
    <t>Fund Mod.</t>
  </si>
  <si>
    <t>51X</t>
  </si>
  <si>
    <t>41X, 42X, 43X</t>
  </si>
  <si>
    <t>45X</t>
  </si>
  <si>
    <t>Facilities Acq.</t>
  </si>
  <si>
    <t>ACTUAL</t>
  </si>
  <si>
    <t>VARIANCE</t>
  </si>
  <si>
    <t>% VARIANCE</t>
  </si>
  <si>
    <t>To-Year-End</t>
  </si>
  <si>
    <t>State Sources</t>
  </si>
  <si>
    <t>Federal Sources</t>
  </si>
  <si>
    <t>A</t>
  </si>
  <si>
    <t>B</t>
  </si>
  <si>
    <t>C</t>
  </si>
  <si>
    <t>Beginning Fund Equity</t>
  </si>
  <si>
    <t>Local Sources</t>
  </si>
  <si>
    <t>SUMMARY MONTHLY DEP RECONCILIATION REPORT</t>
  </si>
  <si>
    <t>D(B+C)</t>
  </si>
  <si>
    <t>E(D-A)</t>
  </si>
  <si>
    <t>F(E/A)</t>
  </si>
  <si>
    <t>PROJECTED</t>
  </si>
  <si>
    <t>TOTAL</t>
  </si>
  <si>
    <t>Acct Codes</t>
  </si>
  <si>
    <t xml:space="preserve">  </t>
  </si>
  <si>
    <t>Year-to Date</t>
  </si>
  <si>
    <t>Add:  Revenues</t>
  </si>
  <si>
    <t>11X</t>
  </si>
  <si>
    <t>Local Rec'd Thru Other Public Schl</t>
  </si>
  <si>
    <t>Local Thru Other Political Sub</t>
  </si>
  <si>
    <t>Incoming Transfers &amp; Other</t>
  </si>
  <si>
    <t>Total Current Year Revenues</t>
  </si>
  <si>
    <t>Classroom Instruction</t>
  </si>
  <si>
    <t>Support Services:</t>
  </si>
  <si>
    <t>Pupil Support</t>
  </si>
  <si>
    <t>Instructional Staff Supp</t>
  </si>
  <si>
    <t>General Admin.</t>
  </si>
  <si>
    <t>School Admin.</t>
  </si>
  <si>
    <t>Business Admin.</t>
  </si>
  <si>
    <t>Oper/Maintenance</t>
  </si>
  <si>
    <t>Central Admin.</t>
  </si>
  <si>
    <t>41,42,43</t>
  </si>
  <si>
    <t>Facilities Acquisition</t>
  </si>
  <si>
    <t>TOTAL EXPEND. &amp; OUTGOING TRNSFRS</t>
  </si>
  <si>
    <t>SCHOOL DISTRICT NAME:</t>
  </si>
  <si>
    <t>(L)</t>
  </si>
  <si>
    <t>Local Revenue From Millage</t>
  </si>
  <si>
    <t>This should be consistent with amount reported on the Local Revenue Worksheet under Major Class 111 (Line 2, Column H)</t>
  </si>
  <si>
    <t>(A1)</t>
  </si>
  <si>
    <t>(A2)</t>
  </si>
  <si>
    <t>(A3)</t>
  </si>
  <si>
    <t>(B1)</t>
  </si>
  <si>
    <t>(B2)</t>
  </si>
  <si>
    <t>(B3)</t>
  </si>
  <si>
    <t>Add GE blend (A3) + SE blend (B3)</t>
  </si>
  <si>
    <t>E</t>
  </si>
  <si>
    <t>G</t>
  </si>
  <si>
    <t>F</t>
  </si>
  <si>
    <t>(H1)</t>
  </si>
  <si>
    <t>(H2)</t>
  </si>
  <si>
    <t>(I)</t>
  </si>
  <si>
    <t>(J)</t>
  </si>
  <si>
    <t>(K1)</t>
  </si>
  <si>
    <t>(K2)</t>
  </si>
  <si>
    <t>(M1)</t>
  </si>
  <si>
    <t>(M2)</t>
  </si>
  <si>
    <t>(M3)</t>
  </si>
  <si>
    <t>(M4)</t>
  </si>
  <si>
    <t>(M5)</t>
  </si>
  <si>
    <t>Proposal A Obligation</t>
  </si>
  <si>
    <t>Section 20 (L x A3)</t>
  </si>
  <si>
    <t>CY State Share Times GE Blend FTE</t>
  </si>
  <si>
    <t>N1</t>
  </si>
  <si>
    <t>N2</t>
  </si>
  <si>
    <t>N3</t>
  </si>
  <si>
    <t>SE Fdtn. (lesser of H1, H2 xB3)</t>
  </si>
  <si>
    <t>O1</t>
  </si>
  <si>
    <t>O2</t>
  </si>
  <si>
    <t>(N1+N2)</t>
  </si>
  <si>
    <t>O3</t>
  </si>
  <si>
    <t>CY Foundation Times SE Blend FTE</t>
  </si>
  <si>
    <t>(O1+O2)</t>
  </si>
  <si>
    <t>P1</t>
  </si>
  <si>
    <t>P2</t>
  </si>
  <si>
    <t>P3</t>
  </si>
  <si>
    <t>Difference between (M5- (P3-O3)) or 0 if negative</t>
  </si>
  <si>
    <t>P4</t>
  </si>
  <si>
    <t>Q</t>
  </si>
  <si>
    <t>Section 22a - Proposal A (L*C)</t>
  </si>
  <si>
    <t>Section 51c (P3)</t>
  </si>
  <si>
    <t>(P3)</t>
  </si>
  <si>
    <t>R</t>
  </si>
  <si>
    <t>Discretionary Payment</t>
  </si>
  <si>
    <t>Special Education Obligation based on SE Costs</t>
  </si>
  <si>
    <t>Section 22b (Q-R-P3)</t>
  </si>
  <si>
    <t>S</t>
  </si>
  <si>
    <t>SRSD Spring GE Membership FTE</t>
  </si>
  <si>
    <t>SRSD Fall GE Membership FTE</t>
  </si>
  <si>
    <t>SRSD Spring SE Membership FTE</t>
  </si>
  <si>
    <t>SRSD Fall SE Membership FTE</t>
  </si>
  <si>
    <t>Foundation Allowance - Local Share of Foundation Allowance</t>
  </si>
  <si>
    <t>NH Property Value times Millage Rate divided by Total FTE Blend</t>
  </si>
  <si>
    <t>State Obligation for Special Education Costs</t>
  </si>
  <si>
    <t>State Obligation for Special Education Transportation</t>
  </si>
  <si>
    <t>State Obligation for SE Costs</t>
  </si>
  <si>
    <t>Breakdown of Foundation and SE Obligation</t>
  </si>
  <si>
    <r>
      <t>Estimated</t>
    </r>
    <r>
      <rPr>
        <sz val="10"/>
        <rFont val="Arial"/>
        <family val="0"/>
      </rPr>
      <t xml:space="preserve"> SE4096</t>
    </r>
  </si>
  <si>
    <t>Estimated Adj. For Non Resident</t>
  </si>
  <si>
    <t>Total of P1 + P2</t>
  </si>
  <si>
    <t xml:space="preserve">Foundation (from SA Calc Worksheet  Line R + Line S) </t>
  </si>
  <si>
    <t>Special Education (From SA Calc Worksheet Line P3 )</t>
  </si>
  <si>
    <t>PY ADJ</t>
  </si>
  <si>
    <t>21st Century</t>
  </si>
  <si>
    <t>Total General Fund
*This will populate the DEP Federal Revenue Line 7</t>
  </si>
  <si>
    <t>Diff</t>
  </si>
  <si>
    <r>
      <t>Estimated</t>
    </r>
    <r>
      <rPr>
        <sz val="10"/>
        <rFont val="Arial"/>
        <family val="0"/>
      </rPr>
      <t xml:space="preserve"> SE4094</t>
    </r>
  </si>
  <si>
    <t>Summer School</t>
  </si>
  <si>
    <t>13x</t>
  </si>
  <si>
    <t>Other - FICA</t>
  </si>
  <si>
    <t xml:space="preserve">Other - Part-Time and Temporary Salaries </t>
  </si>
  <si>
    <t>Change in Capital Outlay</t>
  </si>
  <si>
    <t>Change Purchased Services, Supplies, Dues and Fees</t>
  </si>
  <si>
    <t>Change in Purchased Services, Supplies and Textbooks, Dues and Fees</t>
  </si>
  <si>
    <t xml:space="preserve">Variance Explanation </t>
  </si>
  <si>
    <t>Othr Add Needs</t>
  </si>
  <si>
    <t>Explanation for Difference &gt; 20%</t>
  </si>
  <si>
    <t>Explanation for Difference &gt; than 20%</t>
  </si>
  <si>
    <t>Explanations for Variance &gt; 20%</t>
  </si>
  <si>
    <t>Staffing Decrease -  # of Teaching FTE lost due to  Layoff</t>
  </si>
  <si>
    <t>Staffing Decrease -  # of Teaching FTE lost due to Attrition/Retirement</t>
  </si>
  <si>
    <t>Staffing Decrease -  # of Teaching FTE lost  due to Attrition/Retirement</t>
  </si>
  <si>
    <t>Salary Savings From Staffing Decrease</t>
  </si>
  <si>
    <t>Staffing Decrease due to Attrition/Retirement</t>
  </si>
  <si>
    <t>Staffing Decrease due to Layoff</t>
  </si>
  <si>
    <t>Enter Current Non-PRE Value from Status Report</t>
  </si>
  <si>
    <t>Enter Current Comm PP Value from Status Report</t>
  </si>
  <si>
    <t>(D1)</t>
  </si>
  <si>
    <t>(D2)</t>
  </si>
  <si>
    <t>NH Property Value times Millage Rate (D1*E+D2*F) divided by GE FTE Blend</t>
  </si>
  <si>
    <t>NH Property Value times Millage Rate (D1*E+D2*F) divided by Total FTE Blend</t>
  </si>
  <si>
    <t>Adult Ed 13x</t>
  </si>
  <si>
    <t xml:space="preserve">Staffing Decrease -  # of Other  Non  Teaching Classroom FTE Reduced </t>
  </si>
  <si>
    <t>Total (S/B Consistent with Change in DEP)</t>
  </si>
  <si>
    <t>Non-PRE Taxable Value</t>
  </si>
  <si>
    <t>Comm. PP Taxable Value</t>
  </si>
  <si>
    <t>Answer:</t>
  </si>
  <si>
    <t>YES</t>
  </si>
  <si>
    <t>NO</t>
  </si>
  <si>
    <t>* Narrative Section should explain any partial year implementation disparities.</t>
  </si>
  <si>
    <t xml:space="preserve"> Local Sources </t>
  </si>
  <si>
    <t>Local Rec'd Thru Another Public Sch.</t>
  </si>
  <si>
    <t xml:space="preserve">State Sources </t>
  </si>
  <si>
    <t xml:space="preserve">Federal Sources </t>
  </si>
  <si>
    <t>State Share ((lesser of H1,H2)-(G/A3)))</t>
  </si>
  <si>
    <t>Local Share ((G)/A3)</t>
  </si>
  <si>
    <t>State Share of 1995 ((lesser of K1, K2)-((G)/C)))</t>
  </si>
  <si>
    <t>Original SE Hold Harmless Amt.</t>
  </si>
  <si>
    <t>Current SE Costs (M1) x.0633359998</t>
  </si>
  <si>
    <t>(M6)</t>
  </si>
  <si>
    <t>Current SE trans cost (M2) x .704165</t>
  </si>
  <si>
    <t>(M7)</t>
  </si>
  <si>
    <t>(M8)</t>
  </si>
  <si>
    <t>(M9)</t>
  </si>
  <si>
    <t>Current cost x rate used to determine FY97 amount</t>
  </si>
  <si>
    <t xml:space="preserve">Adjusted Sect. 52 HH level </t>
  </si>
  <si>
    <t>lesser of M3 &amp; M6</t>
  </si>
  <si>
    <t>Adjusted Sect. 58 HH level</t>
  </si>
  <si>
    <t>lesser of M4 &amp; M8</t>
  </si>
  <si>
    <t>Adjusted SEHH level</t>
  </si>
  <si>
    <t>(M10)</t>
  </si>
  <si>
    <t>11x, 12x</t>
  </si>
  <si>
    <t>SE Hold Harmless Amt.</t>
  </si>
  <si>
    <t>((N3+O3)+(P3-O1)+(P4)</t>
  </si>
  <si>
    <t>DEFICIT</t>
  </si>
  <si>
    <t>State Revenue Rec'd This Year,Deferred to future Year (Enter as negative)</t>
  </si>
  <si>
    <t>Notes:</t>
  </si>
  <si>
    <t>Workers Compensation</t>
  </si>
  <si>
    <t>When is the next year employee negotiations will be open?</t>
  </si>
  <si>
    <t>What factors caused the school district's deficit?</t>
  </si>
  <si>
    <t>What is the school district's plan to eliminate the deficit?</t>
  </si>
  <si>
    <t>What subjects or instructional programs is the district proposing to discontinue or curtail?</t>
  </si>
  <si>
    <t>What support services would be reduced or eliminated?</t>
  </si>
  <si>
    <t>What specific steps have been initiated to carry out the plan?</t>
  </si>
  <si>
    <t>Please give the details of staff reductions for instruction, support services, and community services.</t>
  </si>
  <si>
    <t>Please give the details of any proposed employee wage concessions.  Have any of those concessions been adopted?</t>
  </si>
  <si>
    <t>Please submit the most recent board approved budget along with the board resolution with which it was adopted or provide the URL at which it is located.</t>
  </si>
  <si>
    <t>Please submit the Board Resolution showing approval of this Deficit Elimination Plan.</t>
  </si>
  <si>
    <t>List expected savings to be achieved by eliminating specific extra-curricular activities.</t>
  </si>
  <si>
    <t>Do you have a sinking fund?  If so, what is it designated for?</t>
  </si>
  <si>
    <t>General Millage (111)(114)(12x)</t>
  </si>
  <si>
    <t>Best Practices incentive</t>
  </si>
  <si>
    <t>Headlee Obl./Data collection</t>
  </si>
  <si>
    <t>Note: On this tab, enter increased expenditures as positive and decreased expenditures as negative.</t>
  </si>
  <si>
    <t>Lines 1-4 below refer to staffing cuts and should be entered as negative numbers</t>
  </si>
  <si>
    <t>Lines 5-6 below refer to staffing additions and should be entered as positive numbers</t>
  </si>
  <si>
    <t>Staffing Increase -  # of Teaching FTE added</t>
  </si>
  <si>
    <t>Additional Salaries From Staffing Increase</t>
  </si>
  <si>
    <t>Are you current on payments to MPSERS, health insurance premiums, etc.?</t>
  </si>
  <si>
    <t>State Aid Calculation 2014-15</t>
  </si>
  <si>
    <t>Fall 2014 GE FTE</t>
  </si>
  <si>
    <t>Fall 2014 SE FTE</t>
  </si>
  <si>
    <t>2015 Foundation Allowance</t>
  </si>
  <si>
    <t>Maximum 2015 Fdtn</t>
  </si>
  <si>
    <t>Other Misc, Local (16x, 199)</t>
  </si>
  <si>
    <t>District Information</t>
  </si>
  <si>
    <t>Name</t>
  </si>
  <si>
    <t>District Code</t>
  </si>
  <si>
    <t>Address</t>
  </si>
  <si>
    <t>Superintendent Information</t>
  </si>
  <si>
    <t>Email Address</t>
  </si>
  <si>
    <t>Office Phone</t>
  </si>
  <si>
    <t xml:space="preserve">Cell </t>
  </si>
  <si>
    <t>Business Manager Information</t>
  </si>
  <si>
    <t>Board President Information</t>
  </si>
  <si>
    <t>Union President Information</t>
  </si>
  <si>
    <t>District Name</t>
  </si>
  <si>
    <t>Check Figure from Instruction tab Column E</t>
  </si>
  <si>
    <t>Difference (needs to be zero)</t>
  </si>
  <si>
    <t>Pre School 118</t>
  </si>
  <si>
    <t>Summer School 119</t>
  </si>
  <si>
    <t>Check Figure from Instruction tab Column H</t>
  </si>
  <si>
    <t>Facilities</t>
  </si>
  <si>
    <t>Acquisition</t>
  </si>
  <si>
    <t>Debt Serv.</t>
  </si>
  <si>
    <t>Check Figure from Support tab Column E</t>
  </si>
  <si>
    <t>Monthly Budgetary Control Report Guidance</t>
  </si>
  <si>
    <t>The Michigan Department of Education (MDE) Monthly Budgetary Control Report can be a valuable tool for monitoring the financial health of a school district if the report is completed using actual to-date and realistic projections of revenues and expenditures over the balance of the year. It is expected that the board/district would regularly review this report in order to determine the need for mid-year budget amendments. The procedures for analysis of this report are intended to encourage the board/district to monitor the Deficit Elimination Plan (DEP) vs. actual revenues and expenditures in a timely fashion.</t>
  </si>
  <si>
    <t xml:space="preserve">These monthly reports are due by the end of the following month. For example, the November report is due by December 31st. The district should begin sending these reports immediately after the DEP has been approved. For example, if the MDE approved the DEP in November, we would expect a November report by the end of December. The local school board does not have to approve the reports. These monthly reports should be sent to Chad Urchike at urchikec1@michigan.gov and to Jeff Kolb at kolbj2@michigan.gov. </t>
  </si>
  <si>
    <t>The following is a breakdown of the Monthly Budgetary Control Report. The guidelines help explain what information the MDE is looking for in these reports. An example of a completed report follows this guidance.</t>
  </si>
  <si>
    <t>Column A</t>
  </si>
  <si>
    <t>This column will automatically fill in with information from the DEP tab. It will always be based on your most current MDE approved DEP. Even if you submit a revised DEP, these monthly reports will still be based on your existing approved DEP. Therefore, it is important to create a new DEP worksheet when submitting a revised plan, as opposed to overwriting the numbers on your existing file. The only time column A will change is when the MDE approves a revised DEP. It is important to remember that this column represents your plan to eliminate the deficit. The information you provide in columns B and C will show how the district is performing relative to their approved DEP on a monthly basis.</t>
  </si>
  <si>
    <t>Column B</t>
  </si>
  <si>
    <t>This column represents monies the district has spent/collected, thus far, in the fiscal year. For example, the Budgetary Control Report for December would show how much the district has spent/collected from July 1st through December 31st. These numbers should always reflect the most current data for the accounts. This column starts with Beginning Fund Equity, which should be your audited fund balance as of July 1st. Until the audit is complete, the amount would come from the adopted budget for the current year.</t>
  </si>
  <si>
    <t>Column C</t>
  </si>
  <si>
    <t>This column represents monies the district projects to spend/collect during the rest of the fiscal year. For example, the Budgetary Control Report for December would show how much the district expects to spend/collect from January 1st through June 30th. Your DEP was developed using certain assumptions for revenues and expenditures. As the year progresses, these assumptions will be modified based on new information, such as more accurate pupil counts and staff concessions. After each monthly report is created, column C projections should become more accurate and certain adjustments may be needed in other areas. This detailed analysis can be a time consuming process, but it is essential for staying on the path to deficit elimination.</t>
  </si>
  <si>
    <t>Column D</t>
  </si>
  <si>
    <t>Columns B and C are added, totaling what the district expects to spend for the year.</t>
  </si>
  <si>
    <t>Column E</t>
  </si>
  <si>
    <r>
      <t xml:space="preserve">This column will calculate the difference between column A (your DEP/Budget) and column D (what the district expects to spend). As the school year progresses, </t>
    </r>
    <r>
      <rPr>
        <b/>
        <u val="single"/>
        <sz val="12"/>
        <rFont val="Arial"/>
        <family val="2"/>
      </rPr>
      <t>the MDE fully expects to see some variations in this column</t>
    </r>
    <r>
      <rPr>
        <b/>
        <sz val="12"/>
        <rFont val="Arial"/>
        <family val="2"/>
      </rPr>
      <t>.</t>
    </r>
    <r>
      <rPr>
        <sz val="12"/>
        <rFont val="Arial"/>
        <family val="2"/>
      </rPr>
      <t xml:space="preserve"> One example is the variation between the Beginning Fund Equity balances. It is the difference between your projected fund balance and your audited fund balance. No variation within this column shows that the district is simply forcing the numbers in Column C to coincide with the DEP, as opposed to using authentic numbers that come from detailed budget analysis.</t>
    </r>
  </si>
  <si>
    <t>Column F</t>
  </si>
  <si>
    <t>This column will calculate the percentage difference between columns E and A.</t>
  </si>
  <si>
    <t>Variance Explanation Column</t>
  </si>
  <si>
    <t>This column is used to explain the differences between the DEP and total projected expenditures. These explanations provide the MDE with some insight as to what is happening at the district.</t>
  </si>
  <si>
    <t>90% Fall GE FTE(A1) + 10% Spring GE FTE(A2)</t>
  </si>
  <si>
    <t>90% Fall SE FTE(B1) + 10% Spring SE FTE(B2)</t>
  </si>
  <si>
    <t>Spring 2015 GE FTE</t>
  </si>
  <si>
    <t>Spring 2015 SE FTE</t>
  </si>
  <si>
    <t>Basic Inst
111-113</t>
  </si>
  <si>
    <t>Estimated
2016-17</t>
  </si>
  <si>
    <t>Estimated
2017-18</t>
  </si>
  <si>
    <t>Estimated
2018-19</t>
  </si>
  <si>
    <t>State Aid Calculation 2015-16</t>
  </si>
  <si>
    <t>Fall 2015 GE FTE</t>
  </si>
  <si>
    <t>Spring 2016 GE FTE</t>
  </si>
  <si>
    <t>Fall 2015 SE FTE</t>
  </si>
  <si>
    <t>Spring 2016 SE FTE</t>
  </si>
  <si>
    <t>2016 Foundation Allowance</t>
  </si>
  <si>
    <t>Maximum 2016 Fdtn</t>
  </si>
  <si>
    <t>Reconciliation from 2014-15 to 2015-16</t>
  </si>
  <si>
    <t>Reconciliation from 2015-16 to 2016-17</t>
  </si>
  <si>
    <t>Reconciliation from 2016-17 to 2017-18</t>
  </si>
  <si>
    <t>Reconciliation from 2017-18 to 2018-19</t>
  </si>
  <si>
    <t>For which employee groups have negotiations been completed for 2015-16?</t>
  </si>
  <si>
    <t>For which employee groups have negotiations not been completed for 2015-16?</t>
  </si>
  <si>
    <t>Are projected savings from employee negotiations included in 2015-16?</t>
  </si>
  <si>
    <t>ELIMINATION PLAN 2015-2016</t>
  </si>
  <si>
    <t>MPSERS</t>
  </si>
  <si>
    <t>Unearned State Revenue Utilized this Year</t>
  </si>
  <si>
    <t>Preliminary Actual
2014-15</t>
  </si>
  <si>
    <t xml:space="preserve">Budgeted
2015-16 </t>
  </si>
  <si>
    <t>Estimated
2019-20</t>
  </si>
  <si>
    <t>2014-15 Per Most Recent State Aid Status Report</t>
  </si>
  <si>
    <t>Reconciliation from 2018-19 to 2019-20</t>
  </si>
  <si>
    <t>For which employee groups have negotiations been completed for 2016-17?</t>
  </si>
  <si>
    <t>For which employee groups have negotiations not been completed for 2016-17?</t>
  </si>
  <si>
    <t>Are projected savings from employee negotiations included in 2016-17?</t>
  </si>
  <si>
    <t>ELIMINATION PLAN 2016-2017</t>
  </si>
  <si>
    <t>State Aid Calculation 2016-17</t>
  </si>
  <si>
    <t>Fall 2016 GE FTE</t>
  </si>
  <si>
    <t>Spring 2017 GE FTE</t>
  </si>
  <si>
    <t>Fall 2016 SE FTE</t>
  </si>
  <si>
    <t>Spring 2017 SE FTE</t>
  </si>
  <si>
    <t>2017 Foundation Allowance</t>
  </si>
  <si>
    <t>Maximum 2017 Fdtn</t>
  </si>
  <si>
    <t>Tahquamenon Area Schools</t>
  </si>
  <si>
    <t>48040</t>
  </si>
  <si>
    <t>700 Newberry Avenue, Newberry, MI  49868</t>
  </si>
  <si>
    <t>David Barry</t>
  </si>
  <si>
    <t>dbarry@taschools.org</t>
  </si>
  <si>
    <t>906-293-3226</t>
  </si>
  <si>
    <t>616-916-7890</t>
  </si>
  <si>
    <t>Donna Bergman</t>
  </si>
  <si>
    <t>dbergman@taschools.org</t>
  </si>
  <si>
    <t>906-450-5697</t>
  </si>
  <si>
    <t>Telford Burton</t>
  </si>
  <si>
    <t>tuffyburton@hotmail.com</t>
  </si>
  <si>
    <t>Randall Griffis</t>
  </si>
  <si>
    <t>rgriffis@taschools.org</t>
  </si>
  <si>
    <t>Indirect from Food Service Fund</t>
  </si>
  <si>
    <t>Not funded</t>
  </si>
  <si>
    <t>Categoricals not funded</t>
  </si>
  <si>
    <t>Large amt of carryover</t>
  </si>
  <si>
    <t>Title VII Indian Ed</t>
  </si>
  <si>
    <t>Other - Retirement Incentive Buy Out</t>
  </si>
  <si>
    <t>Other - Termination Benefits</t>
  </si>
  <si>
    <t>None</t>
  </si>
  <si>
    <t>Teacher and Support</t>
  </si>
  <si>
    <t>Administration</t>
  </si>
  <si>
    <t>No</t>
  </si>
  <si>
    <t>Layoff paraprofessionals, combine bus routes, privatize maintenance person and secretary, cut contracted expenses and supplies</t>
  </si>
  <si>
    <t>Prior year freeze with no steps or increases</t>
  </si>
  <si>
    <t>http://www.munetrix.com/Michigan/Schools/UPR/Eastern-Upper-Peninsula-ISD/District/Tahquamenon-Area-Schools</t>
  </si>
  <si>
    <t>Yes</t>
  </si>
  <si>
    <t>Teacher, Support and Administration (All employee groups)</t>
  </si>
  <si>
    <t>Spring 2016</t>
  </si>
  <si>
    <t>Declining student enrollment, not enough increase in State Aid Foundation, increased cost of employee benefits</t>
  </si>
  <si>
    <t>Layoff paraprofessionals, combine bus routes, privatize maintenance person and secretary, reduce contracted expenses and supplies</t>
  </si>
  <si>
    <t>Classroom paraprofessionals</t>
  </si>
  <si>
    <t>Lay-off of paraprofessionals and approved contract with a third party for custodial and maintenance services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</si>
</sst>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_);_(* \(#,##0.000000\);_(* &quot;-&quot;??????_);_(@_)"/>
    <numFmt numFmtId="179" formatCode="0.00000"/>
    <numFmt numFmtId="180" formatCode="0.0000"/>
    <numFmt numFmtId="181" formatCode="0.0%"/>
    <numFmt numFmtId="182" formatCode="0.000%"/>
    <numFmt numFmtId="183" formatCode="0.0000%"/>
    <numFmt numFmtId="184" formatCode="_(* #,##0.0000_);_(* \(#,##0.0000\);_(* &quot;-&quot;????_);_(@_)"/>
    <numFmt numFmtId="185" formatCode="_(* #,##0.0000000_);_(* \(#,##0.0000000\);_(* &quot;-&quot;??_);_(@_)"/>
    <numFmt numFmtId="186" formatCode="0.00000%"/>
    <numFmt numFmtId="187" formatCode="0.000000%"/>
    <numFmt numFmtId="188" formatCode="mmmm\-yy"/>
    <numFmt numFmtId="189" formatCode="[$-409]dddd\,\ mmmm\ dd\,\ yyyy"/>
    <numFmt numFmtId="190" formatCode="[$-409]mmmm\-yy;@"/>
    <numFmt numFmtId="191" formatCode="0.0000000"/>
    <numFmt numFmtId="192" formatCode="0.000000"/>
    <numFmt numFmtId="193" formatCode="&quot;$&quot;#,##0"/>
    <numFmt numFmtId="194" formatCode="&quot;$&quot;#,##0.00"/>
    <numFmt numFmtId="195" formatCode="_(* #,##0.000_);_(* \(#,##0.000\);_(* &quot;-&quot;???_);_(@_)"/>
    <numFmt numFmtId="196" formatCode="&quot;$&quot;#,##0.000"/>
    <numFmt numFmtId="197" formatCode="#,##0.000"/>
    <numFmt numFmtId="198" formatCode="_(&quot;$&quot;* #,##0.000_);_(&quot;$&quot;* \(#,##0.000\);_(&quot;$&quot;* &quot;-&quot;???_);_(@_)"/>
    <numFmt numFmtId="199" formatCode="_(&quot;$&quot;* #,##0.000000_);_(&quot;$&quot;* \(#,##0.000000\);_(&quot;$&quot;* &quot;-&quot;??????_);_(@_)"/>
    <numFmt numFmtId="200" formatCode="_(&quot;$&quot;* #,##0.0_);_(&quot;$&quot;* \(#,##0.0\);_(&quot;$&quot;* &quot;-&quot;?_);_(@_)"/>
    <numFmt numFmtId="201" formatCode="#,##0.0_);\(#,##0.0\)"/>
    <numFmt numFmtId="202" formatCode="&quot;$&quot;#,##0.0"/>
    <numFmt numFmtId="203" formatCode="&quot;$&quot;#,##0.0_);\(&quot;$&quot;#,##0.0\)"/>
    <numFmt numFmtId="204" formatCode="_(&quot;$&quot;* #,##0.00000_);_(&quot;$&quot;* \(#,##0.00000\);_(&quot;$&quot;* &quot;-&quot;?????_);_(@_)"/>
    <numFmt numFmtId="205" formatCode="0.0"/>
    <numFmt numFmtId="206" formatCode="yyyy\-yyyy"/>
    <numFmt numFmtId="207" formatCode="yyyy"/>
    <numFmt numFmtId="208" formatCode="0_);\(0\)"/>
    <numFmt numFmtId="209" formatCode="_(&quot;$&quot;* #,##0_);_(&quot;$&quot;* \(#,##0\);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quot;$&quot;#,##0.000000"/>
    <numFmt numFmtId="215" formatCode="0."/>
  </numFmts>
  <fonts count="57">
    <font>
      <sz val="10"/>
      <name val="Arial"/>
      <family val="0"/>
    </font>
    <font>
      <b/>
      <sz val="10"/>
      <name val="Arial"/>
      <family val="2"/>
    </font>
    <font>
      <sz val="8"/>
      <name val="Arial"/>
      <family val="2"/>
    </font>
    <font>
      <sz val="10"/>
      <name val="Verdana"/>
      <family val="2"/>
    </font>
    <font>
      <b/>
      <sz val="10"/>
      <name val="Verdana"/>
      <family val="2"/>
    </font>
    <font>
      <b/>
      <sz val="9"/>
      <name val="Verdana"/>
      <family val="2"/>
    </font>
    <font>
      <sz val="9"/>
      <name val="Verdana"/>
      <family val="2"/>
    </font>
    <font>
      <u val="single"/>
      <sz val="10"/>
      <color indexed="12"/>
      <name val="Arial"/>
      <family val="2"/>
    </font>
    <font>
      <u val="single"/>
      <sz val="10"/>
      <color indexed="36"/>
      <name val="Arial"/>
      <family val="2"/>
    </font>
    <font>
      <sz val="10"/>
      <color indexed="10"/>
      <name val="Arial"/>
      <family val="2"/>
    </font>
    <font>
      <b/>
      <sz val="12"/>
      <name val="Arial"/>
      <family val="2"/>
    </font>
    <font>
      <sz val="12"/>
      <name val="Arial"/>
      <family val="2"/>
    </font>
    <font>
      <sz val="14"/>
      <name val="Arial"/>
      <family val="2"/>
    </font>
    <font>
      <i/>
      <sz val="10"/>
      <name val="Arial"/>
      <family val="2"/>
    </font>
    <font>
      <b/>
      <sz val="18"/>
      <name val="Arial"/>
      <family val="2"/>
    </font>
    <font>
      <b/>
      <u val="single"/>
      <sz val="12"/>
      <name val="Arial"/>
      <family val="2"/>
    </font>
    <font>
      <b/>
      <sz val="14"/>
      <name val="Calibri"/>
      <family val="2"/>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tint="-0.1499900072813034"/>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medium"/>
      <right style="thin"/>
      <top style="medium"/>
      <bottom>
        <color indexed="63"/>
      </bottom>
    </border>
    <border>
      <left style="medium"/>
      <right style="thin"/>
      <top style="thin"/>
      <bottom style="thin"/>
    </border>
    <border>
      <left style="medium"/>
      <right style="thin"/>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6">
    <xf numFmtId="0" fontId="0" fillId="0" borderId="0" xfId="0" applyAlignment="1">
      <alignment/>
    </xf>
    <xf numFmtId="6" fontId="0" fillId="33" borderId="0" xfId="0" applyNumberFormat="1" applyFill="1" applyAlignment="1" applyProtection="1">
      <alignment/>
      <protection/>
    </xf>
    <xf numFmtId="0" fontId="1" fillId="33" borderId="0" xfId="0" applyFont="1" applyFill="1" applyAlignment="1" applyProtection="1">
      <alignment horizontal="center" wrapText="1"/>
      <protection/>
    </xf>
    <xf numFmtId="0" fontId="0" fillId="33" borderId="0" xfId="0" applyFill="1" applyAlignment="1" applyProtection="1">
      <alignment/>
      <protection/>
    </xf>
    <xf numFmtId="0" fontId="0" fillId="33" borderId="0" xfId="0" applyFill="1" applyAlignment="1">
      <alignment/>
    </xf>
    <xf numFmtId="4" fontId="0" fillId="33" borderId="10" xfId="0" applyNumberFormat="1" applyFill="1" applyBorder="1" applyAlignment="1" applyProtection="1">
      <alignment/>
      <protection/>
    </xf>
    <xf numFmtId="4" fontId="1" fillId="33" borderId="10" xfId="0" applyNumberFormat="1" applyFont="1" applyFill="1" applyBorder="1" applyAlignment="1" applyProtection="1">
      <alignment/>
      <protection/>
    </xf>
    <xf numFmtId="197" fontId="0" fillId="33" borderId="10" xfId="0" applyNumberFormat="1" applyFill="1" applyBorder="1" applyAlignment="1" applyProtection="1">
      <alignment/>
      <protection/>
    </xf>
    <xf numFmtId="197" fontId="1" fillId="33" borderId="10" xfId="0" applyNumberFormat="1" applyFont="1" applyFill="1" applyBorder="1" applyAlignment="1" applyProtection="1">
      <alignment/>
      <protection/>
    </xf>
    <xf numFmtId="44" fontId="1" fillId="33" borderId="10" xfId="45" applyFont="1" applyFill="1" applyBorder="1" applyAlignment="1" applyProtection="1">
      <alignment/>
      <protection/>
    </xf>
    <xf numFmtId="44" fontId="1" fillId="33" borderId="10" xfId="45" applyNumberFormat="1" applyFont="1" applyFill="1" applyBorder="1" applyAlignment="1" applyProtection="1">
      <alignment/>
      <protection/>
    </xf>
    <xf numFmtId="194" fontId="1" fillId="33" borderId="10" xfId="0" applyNumberFormat="1" applyFont="1" applyFill="1" applyBorder="1" applyAlignment="1" applyProtection="1">
      <alignment/>
      <protection/>
    </xf>
    <xf numFmtId="0" fontId="10" fillId="33" borderId="0" xfId="0" applyFont="1" applyFill="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protection/>
    </xf>
    <xf numFmtId="0" fontId="1" fillId="33" borderId="10" xfId="0" applyFont="1" applyFill="1" applyBorder="1" applyAlignment="1">
      <alignment wrapText="1"/>
    </xf>
    <xf numFmtId="0" fontId="1" fillId="33" borderId="10" xfId="0" applyFont="1" applyFill="1" applyBorder="1" applyAlignment="1" applyProtection="1">
      <alignment horizontal="center" wrapText="1"/>
      <protection/>
    </xf>
    <xf numFmtId="0" fontId="1" fillId="33" borderId="10" xfId="0" applyFont="1" applyFill="1" applyBorder="1" applyAlignment="1">
      <alignment horizontal="center" wrapText="1"/>
    </xf>
    <xf numFmtId="0" fontId="1" fillId="33" borderId="10" xfId="0" applyFont="1" applyFill="1" applyBorder="1" applyAlignment="1">
      <alignment/>
    </xf>
    <xf numFmtId="0" fontId="0" fillId="33" borderId="10" xfId="0" applyFont="1" applyFill="1" applyBorder="1" applyAlignment="1" applyProtection="1">
      <alignment wrapText="1"/>
      <protection/>
    </xf>
    <xf numFmtId="4" fontId="0" fillId="33" borderId="10" xfId="0" applyNumberFormat="1" applyFont="1" applyFill="1" applyBorder="1" applyAlignment="1" applyProtection="1">
      <alignment/>
      <protection locked="0"/>
    </xf>
    <xf numFmtId="10" fontId="0" fillId="33" borderId="10" xfId="61" applyNumberFormat="1" applyFont="1" applyFill="1" applyBorder="1" applyAlignment="1" applyProtection="1">
      <alignment/>
      <protection/>
    </xf>
    <xf numFmtId="0" fontId="0" fillId="33" borderId="10" xfId="0" applyFill="1" applyBorder="1" applyAlignment="1" applyProtection="1">
      <alignment/>
      <protection locked="0"/>
    </xf>
    <xf numFmtId="0" fontId="0" fillId="33" borderId="10" xfId="0" applyFill="1" applyBorder="1" applyAlignment="1" applyProtection="1">
      <alignment wrapText="1"/>
      <protection/>
    </xf>
    <xf numFmtId="4" fontId="0" fillId="33" borderId="10" xfId="0" applyNumberFormat="1" applyFill="1" applyBorder="1" applyAlignment="1" applyProtection="1">
      <alignment/>
      <protection locked="0"/>
    </xf>
    <xf numFmtId="0" fontId="1" fillId="33" borderId="10" xfId="0" applyFont="1" applyFill="1" applyBorder="1" applyAlignment="1" applyProtection="1">
      <alignment wrapText="1"/>
      <protection/>
    </xf>
    <xf numFmtId="10" fontId="1" fillId="33" borderId="10" xfId="61" applyNumberFormat="1" applyFont="1" applyFill="1" applyBorder="1" applyAlignment="1" applyProtection="1">
      <alignment/>
      <protection/>
    </xf>
    <xf numFmtId="0" fontId="1" fillId="33" borderId="0" xfId="0" applyFont="1" applyFill="1" applyAlignment="1">
      <alignment/>
    </xf>
    <xf numFmtId="0" fontId="0" fillId="33" borderId="0" xfId="0" applyFill="1" applyAlignment="1">
      <alignment wrapText="1"/>
    </xf>
    <xf numFmtId="10" fontId="0" fillId="33" borderId="10" xfId="61" applyNumberFormat="1" applyFont="1" applyFill="1" applyBorder="1" applyAlignment="1" applyProtection="1">
      <alignment horizontal="right"/>
      <protection/>
    </xf>
    <xf numFmtId="0" fontId="0" fillId="33" borderId="10" xfId="0" applyFill="1" applyBorder="1" applyAlignment="1" applyProtection="1">
      <alignment wrapText="1"/>
      <protection locked="0"/>
    </xf>
    <xf numFmtId="4" fontId="1" fillId="33" borderId="10" xfId="0" applyNumberFormat="1" applyFont="1" applyFill="1" applyBorder="1" applyAlignment="1" applyProtection="1">
      <alignment/>
      <protection/>
    </xf>
    <xf numFmtId="0" fontId="0" fillId="33" borderId="10" xfId="0" applyFill="1" applyBorder="1" applyAlignment="1">
      <alignment wrapText="1"/>
    </xf>
    <xf numFmtId="0" fontId="9" fillId="33" borderId="10" xfId="0" applyFont="1" applyFill="1" applyBorder="1" applyAlignment="1" applyProtection="1">
      <alignment wrapText="1"/>
      <protection/>
    </xf>
    <xf numFmtId="10" fontId="1" fillId="33" borderId="10" xfId="61" applyNumberFormat="1" applyFont="1" applyFill="1" applyBorder="1" applyAlignment="1" applyProtection="1">
      <alignment horizontal="right"/>
      <protection/>
    </xf>
    <xf numFmtId="0" fontId="1" fillId="33" borderId="10" xfId="0" applyFont="1" applyFill="1" applyBorder="1" applyAlignment="1" applyProtection="1">
      <alignment wrapText="1"/>
      <protection locked="0"/>
    </xf>
    <xf numFmtId="0" fontId="1" fillId="33" borderId="0" xfId="0" applyFont="1" applyFill="1" applyAlignment="1">
      <alignment wrapText="1"/>
    </xf>
    <xf numFmtId="0" fontId="1" fillId="33" borderId="0" xfId="0" applyFont="1" applyFill="1" applyAlignment="1" applyProtection="1">
      <alignment wrapText="1"/>
      <protection/>
    </xf>
    <xf numFmtId="0" fontId="0" fillId="33" borderId="0" xfId="0" applyFill="1" applyAlignment="1" applyProtection="1">
      <alignment horizontal="left" wrapText="1"/>
      <protection/>
    </xf>
    <xf numFmtId="0" fontId="1" fillId="33" borderId="10" xfId="0" applyFont="1" applyFill="1" applyBorder="1" applyAlignment="1" applyProtection="1">
      <alignment horizontal="center"/>
      <protection/>
    </xf>
    <xf numFmtId="0" fontId="0" fillId="33" borderId="10" xfId="0" applyFill="1" applyBorder="1" applyAlignment="1" applyProtection="1">
      <alignment/>
      <protection/>
    </xf>
    <xf numFmtId="4" fontId="0" fillId="33" borderId="0" xfId="0" applyNumberFormat="1" applyFill="1" applyAlignment="1" applyProtection="1">
      <alignment/>
      <protection/>
    </xf>
    <xf numFmtId="0" fontId="1" fillId="33" borderId="0" xfId="0" applyFont="1" applyFill="1" applyAlignment="1" applyProtection="1">
      <alignment/>
      <protection/>
    </xf>
    <xf numFmtId="0" fontId="1" fillId="33" borderId="10" xfId="0" applyFont="1" applyFill="1" applyBorder="1" applyAlignment="1">
      <alignment horizontal="center"/>
    </xf>
    <xf numFmtId="0" fontId="0" fillId="33" borderId="10" xfId="0" applyFill="1" applyBorder="1" applyAlignment="1">
      <alignment/>
    </xf>
    <xf numFmtId="0" fontId="6" fillId="33" borderId="10" xfId="0" applyFont="1" applyFill="1" applyBorder="1" applyAlignment="1">
      <alignment/>
    </xf>
    <xf numFmtId="203" fontId="3" fillId="33" borderId="0" xfId="0" applyNumberFormat="1" applyFont="1" applyFill="1" applyBorder="1" applyAlignment="1" applyProtection="1">
      <alignment/>
      <protection/>
    </xf>
    <xf numFmtId="201" fontId="3" fillId="33" borderId="0" xfId="0" applyNumberFormat="1" applyFont="1" applyFill="1" applyBorder="1" applyAlignment="1">
      <alignment/>
    </xf>
    <xf numFmtId="0" fontId="1" fillId="33" borderId="10" xfId="0" applyFont="1" applyFill="1" applyBorder="1" applyAlignment="1" applyProtection="1">
      <alignment/>
      <protection/>
    </xf>
    <xf numFmtId="2" fontId="0" fillId="33" borderId="10" xfId="0" applyNumberFormat="1" applyFill="1" applyBorder="1" applyAlignment="1" applyProtection="1">
      <alignment/>
      <protection locked="0"/>
    </xf>
    <xf numFmtId="2" fontId="0" fillId="33" borderId="10" xfId="0" applyNumberFormat="1" applyFill="1" applyBorder="1" applyAlignment="1" applyProtection="1">
      <alignment/>
      <protection/>
    </xf>
    <xf numFmtId="2" fontId="0" fillId="33" borderId="0" xfId="0" applyNumberFormat="1" applyFill="1" applyAlignment="1" applyProtection="1">
      <alignment/>
      <protection/>
    </xf>
    <xf numFmtId="2" fontId="0" fillId="33" borderId="0" xfId="0" applyNumberFormat="1" applyFill="1" applyAlignment="1">
      <alignment/>
    </xf>
    <xf numFmtId="0" fontId="0" fillId="33" borderId="0" xfId="0" applyNumberFormat="1" applyFill="1" applyAlignment="1">
      <alignment/>
    </xf>
    <xf numFmtId="0" fontId="3" fillId="33" borderId="0" xfId="0" applyFont="1" applyFill="1" applyBorder="1" applyAlignment="1">
      <alignment/>
    </xf>
    <xf numFmtId="0" fontId="5" fillId="33" borderId="0" xfId="0" applyFont="1" applyFill="1" applyBorder="1" applyAlignment="1" applyProtection="1">
      <alignment/>
      <protection/>
    </xf>
    <xf numFmtId="0" fontId="0" fillId="33" borderId="0" xfId="0" applyNumberFormat="1" applyFill="1" applyAlignment="1">
      <alignment horizontal="right"/>
    </xf>
    <xf numFmtId="2" fontId="6" fillId="33" borderId="10" xfId="0" applyNumberFormat="1" applyFont="1" applyFill="1" applyBorder="1" applyAlignment="1" applyProtection="1">
      <alignment/>
      <protection/>
    </xf>
    <xf numFmtId="2" fontId="3" fillId="33" borderId="10" xfId="0" applyNumberFormat="1" applyFont="1" applyFill="1" applyBorder="1" applyAlignment="1" applyProtection="1">
      <alignment/>
      <protection locked="0"/>
    </xf>
    <xf numFmtId="42" fontId="3" fillId="33" borderId="10" xfId="0" applyNumberFormat="1" applyFont="1" applyFill="1" applyBorder="1" applyAlignment="1" applyProtection="1">
      <alignment/>
      <protection/>
    </xf>
    <xf numFmtId="0" fontId="6" fillId="33" borderId="10" xfId="0" applyFont="1" applyFill="1" applyBorder="1" applyAlignment="1" applyProtection="1">
      <alignment/>
      <protection/>
    </xf>
    <xf numFmtId="42" fontId="3" fillId="33" borderId="10" xfId="0" applyNumberFormat="1" applyFont="1" applyFill="1" applyBorder="1" applyAlignment="1" applyProtection="1">
      <alignment/>
      <protection locked="0"/>
    </xf>
    <xf numFmtId="0" fontId="6" fillId="33" borderId="10" xfId="0" applyFont="1" applyFill="1" applyBorder="1" applyAlignment="1" applyProtection="1">
      <alignment/>
      <protection locked="0"/>
    </xf>
    <xf numFmtId="0" fontId="5" fillId="33" borderId="10" xfId="0" applyFont="1" applyFill="1" applyBorder="1" applyAlignment="1" applyProtection="1">
      <alignment/>
      <protection/>
    </xf>
    <xf numFmtId="203" fontId="3" fillId="33" borderId="0" xfId="0" applyNumberFormat="1" applyFont="1" applyFill="1" applyBorder="1" applyAlignment="1">
      <alignment/>
    </xf>
    <xf numFmtId="0" fontId="0" fillId="33" borderId="0" xfId="0" applyFill="1" applyBorder="1" applyAlignment="1">
      <alignment/>
    </xf>
    <xf numFmtId="3" fontId="0" fillId="33" borderId="0" xfId="0" applyNumberFormat="1" applyFill="1" applyBorder="1" applyAlignment="1">
      <alignment/>
    </xf>
    <xf numFmtId="2" fontId="3" fillId="33" borderId="10" xfId="0" applyNumberFormat="1" applyFont="1" applyFill="1" applyBorder="1" applyAlignment="1" applyProtection="1">
      <alignment horizontal="right"/>
      <protection locked="0"/>
    </xf>
    <xf numFmtId="0" fontId="0" fillId="33" borderId="11" xfId="0" applyFill="1" applyBorder="1" applyAlignment="1">
      <alignment/>
    </xf>
    <xf numFmtId="0" fontId="10" fillId="33" borderId="0" xfId="0" applyFont="1" applyFill="1" applyAlignment="1">
      <alignment/>
    </xf>
    <xf numFmtId="0" fontId="11" fillId="33" borderId="0" xfId="0" applyFont="1" applyFill="1" applyAlignment="1">
      <alignment horizontal="center"/>
    </xf>
    <xf numFmtId="0" fontId="0" fillId="33" borderId="0" xfId="0" applyFill="1" applyAlignment="1" applyProtection="1">
      <alignment horizontal="center"/>
      <protection locked="0"/>
    </xf>
    <xf numFmtId="6" fontId="0" fillId="33" borderId="10" xfId="0" applyNumberFormat="1" applyFill="1" applyBorder="1" applyAlignment="1">
      <alignment/>
    </xf>
    <xf numFmtId="6" fontId="0" fillId="33" borderId="10" xfId="0" applyNumberFormat="1" applyFill="1" applyBorder="1" applyAlignment="1" applyProtection="1">
      <alignment/>
      <protection locked="0"/>
    </xf>
    <xf numFmtId="6" fontId="0" fillId="33" borderId="10" xfId="0" applyNumberFormat="1" applyFill="1" applyBorder="1" applyAlignment="1" applyProtection="1">
      <alignment/>
      <protection/>
    </xf>
    <xf numFmtId="10" fontId="0" fillId="33" borderId="12" xfId="0" applyNumberFormat="1" applyFill="1" applyBorder="1" applyAlignment="1">
      <alignment/>
    </xf>
    <xf numFmtId="0" fontId="0" fillId="33" borderId="12" xfId="0" applyFill="1" applyBorder="1" applyAlignment="1">
      <alignment/>
    </xf>
    <xf numFmtId="0" fontId="1" fillId="33" borderId="11" xfId="0" applyFont="1" applyFill="1" applyBorder="1" applyAlignment="1">
      <alignment/>
    </xf>
    <xf numFmtId="0" fontId="1" fillId="33" borderId="11" xfId="0" applyFont="1" applyFill="1" applyBorder="1" applyAlignment="1">
      <alignment wrapText="1"/>
    </xf>
    <xf numFmtId="10" fontId="0" fillId="33" borderId="13" xfId="0" applyNumberFormat="1" applyFill="1" applyBorder="1" applyAlignment="1">
      <alignment/>
    </xf>
    <xf numFmtId="0" fontId="0" fillId="33" borderId="14" xfId="0" applyFill="1" applyBorder="1" applyAlignment="1">
      <alignment/>
    </xf>
    <xf numFmtId="0" fontId="1" fillId="33" borderId="14" xfId="0" applyFont="1" applyFill="1" applyBorder="1" applyAlignment="1">
      <alignment/>
    </xf>
    <xf numFmtId="0" fontId="1" fillId="33" borderId="14" xfId="0" applyFont="1" applyFill="1" applyBorder="1" applyAlignment="1">
      <alignment horizontal="center"/>
    </xf>
    <xf numFmtId="0" fontId="0" fillId="33" borderId="15" xfId="0" applyFill="1" applyBorder="1" applyAlignment="1">
      <alignment/>
    </xf>
    <xf numFmtId="0" fontId="1" fillId="33" borderId="15" xfId="0" applyFont="1" applyFill="1" applyBorder="1" applyAlignment="1">
      <alignment/>
    </xf>
    <xf numFmtId="0" fontId="1" fillId="33" borderId="15" xfId="0" applyFont="1" applyFill="1" applyBorder="1" applyAlignment="1">
      <alignment horizontal="center"/>
    </xf>
    <xf numFmtId="0" fontId="0" fillId="33" borderId="16" xfId="0" applyFill="1" applyBorder="1" applyAlignment="1">
      <alignment/>
    </xf>
    <xf numFmtId="0" fontId="1" fillId="33" borderId="16" xfId="0" applyFont="1" applyFill="1" applyBorder="1" applyAlignment="1">
      <alignment wrapText="1"/>
    </xf>
    <xf numFmtId="0" fontId="1" fillId="33" borderId="16" xfId="0" applyFont="1" applyFill="1" applyBorder="1" applyAlignment="1">
      <alignment/>
    </xf>
    <xf numFmtId="0" fontId="1" fillId="33" borderId="16" xfId="0" applyFont="1" applyFill="1" applyBorder="1" applyAlignment="1">
      <alignment horizontal="center" vertical="top"/>
    </xf>
    <xf numFmtId="0" fontId="0" fillId="33" borderId="16" xfId="0" applyFill="1" applyBorder="1" applyAlignment="1">
      <alignment horizontal="center" vertical="top"/>
    </xf>
    <xf numFmtId="181" fontId="0" fillId="33" borderId="0" xfId="0" applyNumberFormat="1" applyFill="1" applyAlignment="1">
      <alignment/>
    </xf>
    <xf numFmtId="0" fontId="1" fillId="33" borderId="0" xfId="0" applyFont="1" applyFill="1" applyBorder="1" applyAlignment="1" applyProtection="1">
      <alignment/>
      <protection/>
    </xf>
    <xf numFmtId="5" fontId="0" fillId="33" borderId="0" xfId="0" applyNumberFormat="1" applyFill="1" applyBorder="1" applyAlignment="1" applyProtection="1">
      <alignment/>
      <protection/>
    </xf>
    <xf numFmtId="193" fontId="0" fillId="33" borderId="10" xfId="0" applyNumberFormat="1" applyFill="1" applyBorder="1" applyAlignment="1" applyProtection="1">
      <alignment/>
      <protection locked="0"/>
    </xf>
    <xf numFmtId="193" fontId="0" fillId="33" borderId="10" xfId="0" applyNumberFormat="1" applyFill="1" applyBorder="1" applyAlignment="1" applyProtection="1">
      <alignment/>
      <protection/>
    </xf>
    <xf numFmtId="193" fontId="0" fillId="33" borderId="10" xfId="0" applyNumberFormat="1" applyFill="1" applyBorder="1" applyAlignment="1">
      <alignment/>
    </xf>
    <xf numFmtId="2" fontId="0" fillId="34" borderId="10" xfId="0" applyNumberFormat="1" applyFill="1" applyBorder="1" applyAlignment="1" applyProtection="1">
      <alignment/>
      <protection/>
    </xf>
    <xf numFmtId="42" fontId="3" fillId="34" borderId="10" xfId="0" applyNumberFormat="1" applyFont="1" applyFill="1" applyBorder="1" applyAlignment="1" applyProtection="1">
      <alignment/>
      <protection/>
    </xf>
    <xf numFmtId="2" fontId="3" fillId="34" borderId="10" xfId="0" applyNumberFormat="1" applyFont="1" applyFill="1" applyBorder="1" applyAlignment="1" applyProtection="1">
      <alignment/>
      <protection locked="0"/>
    </xf>
    <xf numFmtId="2" fontId="3" fillId="34" borderId="10" xfId="0" applyNumberFormat="1" applyFont="1" applyFill="1" applyBorder="1" applyAlignment="1" applyProtection="1">
      <alignment horizontal="right"/>
      <protection locked="0"/>
    </xf>
    <xf numFmtId="42" fontId="3" fillId="34" borderId="10" xfId="0" applyNumberFormat="1" applyFont="1" applyFill="1" applyBorder="1" applyAlignment="1" applyProtection="1">
      <alignment/>
      <protection locked="0"/>
    </xf>
    <xf numFmtId="0" fontId="0" fillId="0" borderId="0" xfId="0" applyFill="1" applyAlignment="1">
      <alignment/>
    </xf>
    <xf numFmtId="0" fontId="12" fillId="0" borderId="0" xfId="0" applyFont="1" applyFill="1" applyAlignment="1">
      <alignment/>
    </xf>
    <xf numFmtId="0" fontId="12" fillId="0" borderId="0" xfId="0" applyFont="1" applyFill="1" applyAlignment="1">
      <alignment/>
    </xf>
    <xf numFmtId="0" fontId="12"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1" fillId="33" borderId="0" xfId="0" applyFont="1" applyFill="1" applyBorder="1" applyAlignment="1">
      <alignment wrapText="1"/>
    </xf>
    <xf numFmtId="0" fontId="0" fillId="33" borderId="0" xfId="0" applyFill="1" applyBorder="1" applyAlignment="1">
      <alignment wrapText="1"/>
    </xf>
    <xf numFmtId="0" fontId="1" fillId="33" borderId="0" xfId="0" applyFont="1" applyFill="1" applyBorder="1" applyAlignment="1">
      <alignment horizontal="center" wrapText="1"/>
    </xf>
    <xf numFmtId="0" fontId="0" fillId="33" borderId="0" xfId="0" applyFill="1" applyBorder="1" applyAlignment="1">
      <alignment horizontal="left" wrapText="1"/>
    </xf>
    <xf numFmtId="4" fontId="0" fillId="33" borderId="0" xfId="0" applyNumberFormat="1" applyFill="1" applyBorder="1" applyAlignment="1">
      <alignment/>
    </xf>
    <xf numFmtId="4" fontId="0" fillId="33" borderId="0" xfId="0" applyNumberFormat="1" applyFill="1" applyBorder="1" applyAlignment="1">
      <alignment wrapText="1"/>
    </xf>
    <xf numFmtId="0" fontId="1" fillId="33" borderId="0" xfId="0" applyFont="1" applyFill="1" applyBorder="1" applyAlignment="1">
      <alignment/>
    </xf>
    <xf numFmtId="4" fontId="0" fillId="33" borderId="0" xfId="0" applyNumberFormat="1" applyFill="1" applyBorder="1" applyAlignment="1" applyProtection="1">
      <alignment/>
      <protection/>
    </xf>
    <xf numFmtId="4" fontId="1" fillId="33" borderId="0" xfId="0" applyNumberFormat="1" applyFont="1" applyFill="1" applyBorder="1" applyAlignment="1" applyProtection="1">
      <alignment/>
      <protection/>
    </xf>
    <xf numFmtId="4" fontId="0" fillId="33" borderId="10" xfId="0" applyNumberFormat="1" applyFill="1" applyBorder="1" applyAlignment="1">
      <alignment/>
    </xf>
    <xf numFmtId="4" fontId="0" fillId="33" borderId="10" xfId="0" applyNumberFormat="1" applyFill="1" applyBorder="1" applyAlignment="1">
      <alignment wrapText="1"/>
    </xf>
    <xf numFmtId="4" fontId="0" fillId="33" borderId="17" xfId="0" applyNumberFormat="1" applyFill="1" applyBorder="1" applyAlignment="1" applyProtection="1">
      <alignment/>
      <protection/>
    </xf>
    <xf numFmtId="4" fontId="0" fillId="33" borderId="12" xfId="0" applyNumberFormat="1" applyFill="1" applyBorder="1" applyAlignment="1" applyProtection="1">
      <alignment/>
      <protection/>
    </xf>
    <xf numFmtId="0" fontId="0" fillId="33" borderId="18" xfId="0" applyFill="1" applyBorder="1" applyAlignment="1">
      <alignment/>
    </xf>
    <xf numFmtId="0" fontId="0" fillId="33" borderId="18" xfId="0" applyFill="1" applyBorder="1" applyAlignment="1">
      <alignment wrapText="1"/>
    </xf>
    <xf numFmtId="4" fontId="0" fillId="33" borderId="19" xfId="0" applyNumberFormat="1" applyFill="1" applyBorder="1" applyAlignment="1" applyProtection="1">
      <alignment/>
      <protection/>
    </xf>
    <xf numFmtId="0" fontId="0" fillId="33" borderId="19" xfId="0" applyFill="1" applyBorder="1" applyAlignment="1">
      <alignment/>
    </xf>
    <xf numFmtId="0" fontId="0" fillId="33" borderId="19" xfId="0" applyFill="1" applyBorder="1" applyAlignment="1">
      <alignment wrapText="1"/>
    </xf>
    <xf numFmtId="4" fontId="0" fillId="33" borderId="13" xfId="0" applyNumberFormat="1" applyFill="1" applyBorder="1" applyAlignment="1" applyProtection="1">
      <alignment/>
      <protection/>
    </xf>
    <xf numFmtId="0" fontId="0" fillId="33" borderId="20" xfId="0" applyFill="1" applyBorder="1" applyAlignment="1">
      <alignment/>
    </xf>
    <xf numFmtId="0" fontId="0" fillId="33" borderId="20" xfId="0" applyFill="1" applyBorder="1" applyAlignment="1">
      <alignment wrapText="1"/>
    </xf>
    <xf numFmtId="197" fontId="0" fillId="33" borderId="12" xfId="0" applyNumberFormat="1" applyFill="1" applyBorder="1" applyAlignment="1" applyProtection="1">
      <alignment/>
      <protection/>
    </xf>
    <xf numFmtId="44" fontId="1" fillId="33" borderId="10" xfId="45" applyFont="1" applyFill="1" applyBorder="1" applyAlignment="1" applyProtection="1">
      <alignment/>
      <protection locked="0"/>
    </xf>
    <xf numFmtId="44" fontId="0" fillId="33" borderId="10" xfId="45" applyFill="1" applyBorder="1" applyAlignment="1" applyProtection="1">
      <alignment/>
      <protection locked="0"/>
    </xf>
    <xf numFmtId="44" fontId="0" fillId="33" borderId="12" xfId="45" applyFill="1" applyBorder="1" applyAlignment="1" applyProtection="1">
      <alignment/>
      <protection/>
    </xf>
    <xf numFmtId="44" fontId="0" fillId="33" borderId="10" xfId="45" applyFont="1" applyFill="1" applyBorder="1" applyAlignment="1" applyProtection="1">
      <alignment/>
      <protection locked="0"/>
    </xf>
    <xf numFmtId="0" fontId="0" fillId="33" borderId="10" xfId="0" applyFill="1" applyBorder="1" applyAlignment="1" applyProtection="1">
      <alignment horizontal="left" wrapText="1"/>
      <protection/>
    </xf>
    <xf numFmtId="0" fontId="0" fillId="33" borderId="18" xfId="0" applyFill="1" applyBorder="1" applyAlignment="1" applyProtection="1">
      <alignment wrapText="1"/>
      <protection/>
    </xf>
    <xf numFmtId="0" fontId="0" fillId="33" borderId="0" xfId="0" applyFill="1" applyBorder="1" applyAlignment="1" applyProtection="1">
      <alignment wrapText="1"/>
      <protection/>
    </xf>
    <xf numFmtId="0" fontId="0" fillId="33" borderId="20" xfId="0"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pplyProtection="1">
      <alignment/>
      <protection/>
    </xf>
    <xf numFmtId="4" fontId="0" fillId="33" borderId="10" xfId="0" applyNumberFormat="1" applyFill="1" applyBorder="1" applyAlignment="1" applyProtection="1">
      <alignment wrapText="1"/>
      <protection/>
    </xf>
    <xf numFmtId="4" fontId="0" fillId="33" borderId="0" xfId="0" applyNumberFormat="1" applyFill="1" applyAlignment="1" applyProtection="1">
      <alignment wrapText="1"/>
      <protection/>
    </xf>
    <xf numFmtId="4" fontId="1" fillId="33" borderId="12" xfId="0" applyNumberFormat="1" applyFont="1" applyFill="1" applyBorder="1" applyAlignment="1" applyProtection="1">
      <alignment/>
      <protection/>
    </xf>
    <xf numFmtId="10" fontId="0" fillId="33" borderId="10" xfId="61" applyNumberFormat="1" applyFont="1" applyFill="1" applyBorder="1" applyAlignment="1" applyProtection="1">
      <alignment horizontal="right"/>
      <protection/>
    </xf>
    <xf numFmtId="10" fontId="0" fillId="33" borderId="10" xfId="61" applyNumberFormat="1" applyFont="1" applyFill="1" applyBorder="1" applyAlignment="1" applyProtection="1">
      <alignment/>
      <protection locked="0"/>
    </xf>
    <xf numFmtId="0" fontId="0" fillId="33" borderId="0" xfId="0" applyFont="1" applyFill="1" applyAlignment="1" applyProtection="1">
      <alignment/>
      <protection/>
    </xf>
    <xf numFmtId="10" fontId="0" fillId="33" borderId="10" xfId="61" applyNumberFormat="1" applyFont="1" applyFill="1" applyBorder="1" applyAlignment="1" applyProtection="1">
      <alignment wrapText="1"/>
      <protection locked="0"/>
    </xf>
    <xf numFmtId="181" fontId="1" fillId="33" borderId="10" xfId="0" applyNumberFormat="1" applyFont="1" applyFill="1" applyBorder="1" applyAlignment="1" applyProtection="1">
      <alignment horizontal="center" wrapText="1"/>
      <protection/>
    </xf>
    <xf numFmtId="0" fontId="1" fillId="33" borderId="10" xfId="0" applyFont="1" applyFill="1" applyBorder="1" applyAlignment="1">
      <alignment horizontal="right"/>
    </xf>
    <xf numFmtId="6" fontId="0" fillId="33" borderId="10" xfId="0" applyNumberFormat="1" applyFill="1" applyBorder="1" applyAlignment="1" applyProtection="1">
      <alignment/>
      <protection locked="0"/>
    </xf>
    <xf numFmtId="181" fontId="0" fillId="33" borderId="10" xfId="0" applyNumberFormat="1" applyFill="1" applyBorder="1" applyAlignment="1" applyProtection="1">
      <alignment/>
      <protection/>
    </xf>
    <xf numFmtId="0" fontId="1" fillId="33" borderId="10" xfId="0" applyFont="1" applyFill="1" applyBorder="1" applyAlignment="1" applyProtection="1">
      <alignment horizontal="right"/>
      <protection/>
    </xf>
    <xf numFmtId="6" fontId="1" fillId="33" borderId="10" xfId="0" applyNumberFormat="1" applyFont="1" applyFill="1" applyBorder="1" applyAlignment="1" applyProtection="1">
      <alignment/>
      <protection/>
    </xf>
    <xf numFmtId="181" fontId="1" fillId="33" borderId="10" xfId="0" applyNumberFormat="1" applyFont="1" applyFill="1" applyBorder="1" applyAlignment="1" applyProtection="1">
      <alignment/>
      <protection/>
    </xf>
    <xf numFmtId="10" fontId="0" fillId="33" borderId="10" xfId="0" applyNumberFormat="1" applyFill="1" applyBorder="1" applyAlignment="1" applyProtection="1">
      <alignment/>
      <protection/>
    </xf>
    <xf numFmtId="6" fontId="0" fillId="33" borderId="10" xfId="0" applyNumberFormat="1" applyFill="1" applyBorder="1" applyAlignment="1" applyProtection="1">
      <alignment wrapText="1"/>
      <protection locked="0"/>
    </xf>
    <xf numFmtId="0" fontId="0" fillId="33" borderId="10" xfId="0" applyFill="1" applyBorder="1" applyAlignment="1" applyProtection="1">
      <alignment horizontal="center" wrapText="1"/>
      <protection/>
    </xf>
    <xf numFmtId="6" fontId="1" fillId="33" borderId="10" xfId="0" applyNumberFormat="1" applyFont="1" applyFill="1" applyBorder="1" applyAlignment="1" applyProtection="1">
      <alignment/>
      <protection/>
    </xf>
    <xf numFmtId="6" fontId="1" fillId="33" borderId="10" xfId="0" applyNumberFormat="1" applyFont="1" applyFill="1" applyBorder="1" applyAlignment="1" applyProtection="1">
      <alignment wrapText="1"/>
      <protection/>
    </xf>
    <xf numFmtId="6" fontId="0" fillId="33" borderId="10" xfId="0" applyNumberFormat="1" applyFill="1" applyBorder="1" applyAlignment="1" applyProtection="1">
      <alignment/>
      <protection/>
    </xf>
    <xf numFmtId="193" fontId="1" fillId="33" borderId="10" xfId="0" applyNumberFormat="1" applyFont="1" applyFill="1" applyBorder="1" applyAlignment="1" applyProtection="1">
      <alignment/>
      <protection/>
    </xf>
    <xf numFmtId="0" fontId="0" fillId="33" borderId="0" xfId="0" applyFill="1" applyAlignment="1" applyProtection="1">
      <alignment/>
      <protection/>
    </xf>
    <xf numFmtId="6" fontId="1" fillId="33" borderId="10" xfId="0" applyNumberFormat="1" applyFont="1" applyFill="1" applyBorder="1" applyAlignment="1" applyProtection="1">
      <alignment/>
      <protection locked="0"/>
    </xf>
    <xf numFmtId="0" fontId="0" fillId="33" borderId="10" xfId="0" applyFont="1" applyFill="1" applyBorder="1" applyAlignment="1" applyProtection="1">
      <alignment wrapText="1"/>
      <protection locked="0"/>
    </xf>
    <xf numFmtId="10" fontId="0" fillId="33" borderId="11" xfId="0" applyNumberFormat="1" applyFill="1" applyBorder="1" applyAlignment="1" applyProtection="1">
      <alignment wrapText="1"/>
      <protection locked="0"/>
    </xf>
    <xf numFmtId="0" fontId="0" fillId="33" borderId="10" xfId="0" applyFont="1" applyFill="1" applyBorder="1" applyAlignment="1" applyProtection="1">
      <alignment/>
      <protection/>
    </xf>
    <xf numFmtId="0" fontId="1" fillId="33" borderId="0" xfId="0" applyFont="1" applyFill="1" applyAlignment="1" applyProtection="1" quotePrefix="1">
      <alignment horizontal="center" wrapText="1"/>
      <protection/>
    </xf>
    <xf numFmtId="0" fontId="1" fillId="33" borderId="10" xfId="0" applyFont="1" applyFill="1" applyBorder="1" applyAlignment="1" quotePrefix="1">
      <alignment horizontal="center" wrapText="1"/>
    </xf>
    <xf numFmtId="0" fontId="1" fillId="33" borderId="10" xfId="0" applyFont="1" applyFill="1" applyBorder="1" applyAlignment="1" applyProtection="1" quotePrefix="1">
      <alignment horizontal="left" wrapText="1"/>
      <protection/>
    </xf>
    <xf numFmtId="0" fontId="0" fillId="33" borderId="10" xfId="0" applyFill="1" applyBorder="1" applyAlignment="1" applyProtection="1" quotePrefix="1">
      <alignment horizontal="left" wrapText="1"/>
      <protection/>
    </xf>
    <xf numFmtId="0" fontId="1" fillId="33" borderId="10" xfId="0" applyFont="1" applyFill="1" applyBorder="1" applyAlignment="1" applyProtection="1" quotePrefix="1">
      <alignment horizontal="center" wrapText="1"/>
      <protection/>
    </xf>
    <xf numFmtId="4" fontId="1" fillId="33" borderId="10" xfId="0" applyNumberFormat="1" applyFont="1" applyFill="1" applyBorder="1" applyAlignment="1" applyProtection="1" quotePrefix="1">
      <alignment horizontal="center" wrapText="1"/>
      <protection/>
    </xf>
    <xf numFmtId="0" fontId="5" fillId="33" borderId="10" xfId="0" applyFont="1" applyFill="1" applyBorder="1" applyAlignment="1" applyProtection="1" quotePrefix="1">
      <alignment horizontal="left"/>
      <protection/>
    </xf>
    <xf numFmtId="0" fontId="0" fillId="33" borderId="10" xfId="0" applyFill="1" applyBorder="1" applyAlignment="1" applyProtection="1" quotePrefix="1">
      <alignment horizontal="center" wrapText="1"/>
      <protection/>
    </xf>
    <xf numFmtId="0" fontId="1" fillId="33" borderId="11" xfId="0" applyFont="1" applyFill="1" applyBorder="1" applyAlignment="1" applyProtection="1" quotePrefix="1">
      <alignment horizontal="center" wrapText="1"/>
      <protection/>
    </xf>
    <xf numFmtId="0" fontId="0" fillId="33" borderId="19" xfId="0" applyFont="1" applyFill="1" applyBorder="1" applyAlignment="1" applyProtection="1">
      <alignment/>
      <protection/>
    </xf>
    <xf numFmtId="10" fontId="0" fillId="33" borderId="10" xfId="0" applyNumberFormat="1" applyFont="1" applyFill="1" applyBorder="1" applyAlignment="1" applyProtection="1">
      <alignment/>
      <protection/>
    </xf>
    <xf numFmtId="0" fontId="1" fillId="33" borderId="16" xfId="0" applyFont="1" applyFill="1" applyBorder="1" applyAlignment="1" quotePrefix="1">
      <alignment horizontal="center" vertical="top" wrapText="1"/>
    </xf>
    <xf numFmtId="43" fontId="0" fillId="33" borderId="0" xfId="0" applyNumberFormat="1" applyFill="1" applyAlignment="1" applyProtection="1">
      <alignment/>
      <protection/>
    </xf>
    <xf numFmtId="0" fontId="0" fillId="33" borderId="0" xfId="0" applyFill="1" applyAlignment="1" quotePrefix="1">
      <alignment horizontal="left" wrapText="1"/>
    </xf>
    <xf numFmtId="0" fontId="0" fillId="33" borderId="21" xfId="0" applyFill="1" applyBorder="1" applyAlignment="1" applyProtection="1">
      <alignment wrapText="1"/>
      <protection locked="0"/>
    </xf>
    <xf numFmtId="0" fontId="0" fillId="33" borderId="19" xfId="0" applyFill="1" applyBorder="1" applyAlignment="1" applyProtection="1">
      <alignment/>
      <protection locked="0"/>
    </xf>
    <xf numFmtId="43" fontId="0" fillId="33" borderId="19" xfId="0" applyNumberFormat="1" applyFill="1" applyBorder="1" applyAlignment="1" applyProtection="1">
      <alignment/>
      <protection locked="0"/>
    </xf>
    <xf numFmtId="0" fontId="0" fillId="33" borderId="22" xfId="0" applyFill="1" applyBorder="1" applyAlignment="1" applyProtection="1">
      <alignment wrapText="1"/>
      <protection locked="0"/>
    </xf>
    <xf numFmtId="0" fontId="0" fillId="33" borderId="17" xfId="0" applyFill="1" applyBorder="1" applyAlignment="1" applyProtection="1">
      <alignment wrapText="1"/>
      <protection locked="0"/>
    </xf>
    <xf numFmtId="0" fontId="0" fillId="33" borderId="0" xfId="0" applyFill="1" applyBorder="1" applyAlignment="1" applyProtection="1">
      <alignment/>
      <protection locked="0"/>
    </xf>
    <xf numFmtId="43" fontId="0" fillId="33" borderId="0" xfId="0" applyNumberFormat="1" applyFill="1" applyBorder="1" applyAlignment="1" applyProtection="1">
      <alignment/>
      <protection locked="0"/>
    </xf>
    <xf numFmtId="0" fontId="0" fillId="33" borderId="23" xfId="0" applyFill="1" applyBorder="1" applyAlignment="1" applyProtection="1">
      <alignment wrapText="1"/>
      <protection locked="0"/>
    </xf>
    <xf numFmtId="0" fontId="0" fillId="33" borderId="13" xfId="0" applyFill="1" applyBorder="1" applyAlignment="1" applyProtection="1">
      <alignment wrapText="1"/>
      <protection locked="0"/>
    </xf>
    <xf numFmtId="0" fontId="0" fillId="33" borderId="20" xfId="0" applyFill="1" applyBorder="1" applyAlignment="1" applyProtection="1">
      <alignment/>
      <protection locked="0"/>
    </xf>
    <xf numFmtId="43" fontId="0" fillId="33" borderId="20" xfId="0" applyNumberFormat="1" applyFill="1" applyBorder="1" applyAlignment="1" applyProtection="1">
      <alignment/>
      <protection locked="0"/>
    </xf>
    <xf numFmtId="0" fontId="0" fillId="33" borderId="24" xfId="0" applyFill="1" applyBorder="1" applyAlignment="1" applyProtection="1">
      <alignment wrapText="1"/>
      <protection locked="0"/>
    </xf>
    <xf numFmtId="0" fontId="0" fillId="33" borderId="19" xfId="0" applyFill="1" applyBorder="1" applyAlignment="1" applyProtection="1">
      <alignment wrapText="1"/>
      <protection locked="0"/>
    </xf>
    <xf numFmtId="0" fontId="0" fillId="33" borderId="0" xfId="0" applyFill="1" applyBorder="1" applyAlignment="1" applyProtection="1">
      <alignment wrapText="1"/>
      <protection locked="0"/>
    </xf>
    <xf numFmtId="0" fontId="0" fillId="33" borderId="20" xfId="0" applyFill="1" applyBorder="1" applyAlignment="1" applyProtection="1">
      <alignment wrapText="1"/>
      <protection locked="0"/>
    </xf>
    <xf numFmtId="0" fontId="6" fillId="33" borderId="10" xfId="0" applyFont="1" applyFill="1" applyBorder="1" applyAlignment="1" applyProtection="1" quotePrefix="1">
      <alignment horizontal="left"/>
      <protection/>
    </xf>
    <xf numFmtId="0" fontId="6" fillId="33" borderId="10" xfId="0" applyFont="1" applyFill="1" applyBorder="1" applyAlignment="1" applyProtection="1" quotePrefix="1">
      <alignment horizontal="left"/>
      <protection locked="0"/>
    </xf>
    <xf numFmtId="0" fontId="0" fillId="33" borderId="10" xfId="0" applyFont="1" applyFill="1" applyBorder="1" applyAlignment="1" applyProtection="1" quotePrefix="1">
      <alignment horizontal="left"/>
      <protection locked="0"/>
    </xf>
    <xf numFmtId="215" fontId="0"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215" fontId="1" fillId="0" borderId="0" xfId="0" applyNumberFormat="1" applyFont="1" applyBorder="1" applyAlignment="1" applyProtection="1">
      <alignment/>
      <protection/>
    </xf>
    <xf numFmtId="0" fontId="0" fillId="0" borderId="0" xfId="0" applyFont="1" applyBorder="1" applyAlignment="1" applyProtection="1">
      <alignment/>
      <protection/>
    </xf>
    <xf numFmtId="215" fontId="0" fillId="0" borderId="0" xfId="0" applyNumberFormat="1" applyFont="1" applyBorder="1" applyAlignment="1" applyProtection="1">
      <alignment/>
      <protection/>
    </xf>
    <xf numFmtId="0" fontId="13" fillId="0" borderId="0" xfId="0" applyFont="1" applyBorder="1" applyAlignment="1" applyProtection="1">
      <alignment vertical="top" wrapText="1"/>
      <protection/>
    </xf>
    <xf numFmtId="0" fontId="0" fillId="0" borderId="0" xfId="0" applyFont="1" applyBorder="1" applyAlignment="1" applyProtection="1">
      <alignment vertical="top" wrapText="1"/>
      <protection locked="0"/>
    </xf>
    <xf numFmtId="0" fontId="0" fillId="0" borderId="0" xfId="0" applyFont="1" applyBorder="1" applyAlignment="1" applyProtection="1" quotePrefix="1">
      <alignment horizontal="left" vertical="top" wrapText="1"/>
      <protection locked="0"/>
    </xf>
    <xf numFmtId="215" fontId="1" fillId="0" borderId="0" xfId="0" applyNumberFormat="1" applyFont="1" applyBorder="1" applyAlignment="1" applyProtection="1">
      <alignment vertical="center"/>
      <protection/>
    </xf>
    <xf numFmtId="0" fontId="0" fillId="33" borderId="10" xfId="0" applyFont="1" applyFill="1" applyBorder="1" applyAlignment="1" applyProtection="1" quotePrefix="1">
      <alignment horizontal="left" wrapText="1"/>
      <protection/>
    </xf>
    <xf numFmtId="0" fontId="1" fillId="33" borderId="20" xfId="0" applyFont="1" applyFill="1" applyBorder="1" applyAlignment="1" quotePrefix="1">
      <alignment horizontal="center"/>
    </xf>
    <xf numFmtId="0" fontId="1" fillId="33" borderId="20" xfId="0" applyFont="1" applyFill="1" applyBorder="1" applyAlignment="1">
      <alignment horizontal="center"/>
    </xf>
    <xf numFmtId="0" fontId="55" fillId="33" borderId="0" xfId="0" applyFont="1" applyFill="1" applyBorder="1" applyAlignment="1" applyProtection="1">
      <alignment/>
      <protection/>
    </xf>
    <xf numFmtId="2" fontId="13" fillId="33" borderId="10" xfId="0" applyNumberFormat="1" applyFont="1" applyFill="1" applyBorder="1" applyAlignment="1" applyProtection="1">
      <alignment horizontal="left"/>
      <protection/>
    </xf>
    <xf numFmtId="2" fontId="13" fillId="33" borderId="10" xfId="0" applyNumberFormat="1" applyFont="1" applyFill="1" applyBorder="1" applyAlignment="1" applyProtection="1" quotePrefix="1">
      <alignment horizontal="left"/>
      <protection/>
    </xf>
    <xf numFmtId="0" fontId="0" fillId="33" borderId="10" xfId="0" applyFill="1" applyBorder="1" applyAlignment="1" quotePrefix="1">
      <alignment horizontal="left" indent="1"/>
    </xf>
    <xf numFmtId="2" fontId="13" fillId="33" borderId="10" xfId="0" applyNumberFormat="1" applyFont="1" applyFill="1" applyBorder="1" applyAlignment="1" applyProtection="1">
      <alignment/>
      <protection/>
    </xf>
    <xf numFmtId="43" fontId="3" fillId="33" borderId="10" xfId="42" applyFont="1" applyFill="1" applyBorder="1" applyAlignment="1" applyProtection="1">
      <alignment/>
      <protection/>
    </xf>
    <xf numFmtId="0" fontId="0" fillId="33" borderId="10" xfId="0" applyFill="1" applyBorder="1" applyAlignment="1">
      <alignment horizontal="left" indent="1"/>
    </xf>
    <xf numFmtId="2" fontId="0" fillId="33" borderId="10" xfId="0" applyNumberFormat="1" applyFill="1" applyBorder="1" applyAlignment="1">
      <alignment horizontal="left" indent="1"/>
    </xf>
    <xf numFmtId="2" fontId="6" fillId="33" borderId="10" xfId="0" applyNumberFormat="1" applyFont="1" applyFill="1" applyBorder="1" applyAlignment="1" applyProtection="1">
      <alignment horizontal="left" indent="1"/>
      <protection/>
    </xf>
    <xf numFmtId="0" fontId="6" fillId="33" borderId="10" xfId="0" applyFont="1" applyFill="1" applyBorder="1" applyAlignment="1" applyProtection="1">
      <alignment horizontal="left" indent="1"/>
      <protection/>
    </xf>
    <xf numFmtId="0" fontId="0" fillId="0" borderId="0" xfId="58">
      <alignment/>
      <protection/>
    </xf>
    <xf numFmtId="0" fontId="0" fillId="33" borderId="0" xfId="0" applyNumberFormat="1" applyFill="1" applyAlignment="1" applyProtection="1">
      <alignment/>
      <protection/>
    </xf>
    <xf numFmtId="0" fontId="0" fillId="33" borderId="0" xfId="58" applyFill="1" applyAlignment="1" quotePrefix="1">
      <alignment horizontal="right" wrapText="1"/>
      <protection/>
    </xf>
    <xf numFmtId="193" fontId="0" fillId="33" borderId="0" xfId="58" applyNumberFormat="1" applyFill="1" applyProtection="1">
      <alignment/>
      <protection/>
    </xf>
    <xf numFmtId="0" fontId="56" fillId="33" borderId="0" xfId="58" applyFont="1" applyFill="1" applyAlignment="1" quotePrefix="1">
      <alignment horizontal="right" wrapText="1"/>
      <protection/>
    </xf>
    <xf numFmtId="193" fontId="56" fillId="33" borderId="0" xfId="58" applyNumberFormat="1" applyFont="1" applyFill="1" applyAlignment="1" quotePrefix="1">
      <alignment/>
      <protection/>
    </xf>
    <xf numFmtId="0" fontId="1" fillId="33" borderId="10" xfId="58" applyFont="1" applyFill="1" applyBorder="1" applyAlignment="1" quotePrefix="1">
      <alignment horizontal="center" wrapText="1"/>
      <protection/>
    </xf>
    <xf numFmtId="0" fontId="1" fillId="33" borderId="10" xfId="58" applyFont="1" applyFill="1" applyBorder="1" applyAlignment="1">
      <alignment horizontal="center" wrapText="1"/>
      <protection/>
    </xf>
    <xf numFmtId="0" fontId="1" fillId="33" borderId="10" xfId="58" applyFont="1" applyFill="1" applyBorder="1" applyAlignment="1">
      <alignment horizontal="center"/>
      <protection/>
    </xf>
    <xf numFmtId="0" fontId="3" fillId="33" borderId="10" xfId="58" applyFont="1" applyFill="1" applyBorder="1">
      <alignment/>
      <protection/>
    </xf>
    <xf numFmtId="0" fontId="4" fillId="33" borderId="10" xfId="58" applyFont="1" applyFill="1" applyBorder="1" applyAlignment="1" quotePrefix="1">
      <alignment horizontal="center"/>
      <protection/>
    </xf>
    <xf numFmtId="0" fontId="3" fillId="33" borderId="10" xfId="58" applyFont="1" applyFill="1" applyBorder="1" applyProtection="1">
      <alignment/>
      <protection/>
    </xf>
    <xf numFmtId="0" fontId="4" fillId="33" borderId="10" xfId="58" applyFont="1" applyFill="1" applyBorder="1" applyAlignment="1">
      <alignment horizontal="center"/>
      <protection/>
    </xf>
    <xf numFmtId="0" fontId="4" fillId="33" borderId="10" xfId="58" applyFont="1" applyFill="1" applyBorder="1" applyAlignment="1" applyProtection="1">
      <alignment horizontal="center"/>
      <protection/>
    </xf>
    <xf numFmtId="0" fontId="14"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0" fontId="15" fillId="0" borderId="0" xfId="0" applyFont="1" applyAlignment="1">
      <alignment vertical="center" wrapText="1"/>
    </xf>
    <xf numFmtId="0" fontId="0" fillId="0" borderId="0" xfId="0" applyAlignment="1">
      <alignment wrapText="1"/>
    </xf>
    <xf numFmtId="0" fontId="16" fillId="35" borderId="25" xfId="58" applyFont="1" applyFill="1" applyBorder="1" applyAlignment="1" quotePrefix="1">
      <alignment horizontal="left" vertical="center"/>
      <protection/>
    </xf>
    <xf numFmtId="0" fontId="17" fillId="36" borderId="26" xfId="58" applyFont="1" applyFill="1" applyBorder="1" applyAlignment="1" quotePrefix="1">
      <alignment horizontal="left" vertical="center"/>
      <protection/>
    </xf>
    <xf numFmtId="0" fontId="17" fillId="36" borderId="27" xfId="58" applyFont="1" applyFill="1" applyBorder="1" applyAlignment="1">
      <alignment vertical="center"/>
      <protection/>
    </xf>
    <xf numFmtId="0" fontId="17" fillId="36" borderId="28" xfId="58" applyFont="1" applyFill="1" applyBorder="1" applyAlignment="1">
      <alignment vertical="center"/>
      <protection/>
    </xf>
    <xf numFmtId="0" fontId="16" fillId="35" borderId="29" xfId="58" applyFont="1" applyFill="1" applyBorder="1" applyAlignment="1" quotePrefix="1">
      <alignment/>
      <protection/>
    </xf>
    <xf numFmtId="0" fontId="17" fillId="0" borderId="26" xfId="58" applyFont="1" applyBorder="1" applyAlignment="1">
      <alignment vertical="center"/>
      <protection/>
    </xf>
    <xf numFmtId="0" fontId="17" fillId="0" borderId="27" xfId="58" applyFont="1" applyBorder="1" applyAlignment="1">
      <alignment vertical="center"/>
      <protection/>
    </xf>
    <xf numFmtId="0" fontId="17" fillId="0" borderId="28" xfId="58" applyFont="1" applyBorder="1" applyAlignment="1">
      <alignment vertical="center"/>
      <protection/>
    </xf>
    <xf numFmtId="0" fontId="16" fillId="35" borderId="29" xfId="58" applyFont="1" applyFill="1" applyBorder="1" applyAlignment="1" quotePrefix="1">
      <alignment vertical="center"/>
      <protection/>
    </xf>
    <xf numFmtId="0" fontId="16" fillId="35" borderId="29" xfId="58" applyFont="1" applyFill="1" applyBorder="1" applyAlignment="1" quotePrefix="1">
      <alignment horizontal="left" vertical="center"/>
      <protection/>
    </xf>
    <xf numFmtId="0" fontId="17" fillId="35" borderId="30" xfId="58" applyFont="1" applyFill="1" applyBorder="1" applyAlignment="1">
      <alignment vertical="center"/>
      <protection/>
    </xf>
    <xf numFmtId="0" fontId="17" fillId="36" borderId="31" xfId="58" applyFont="1" applyFill="1" applyBorder="1" applyAlignment="1" applyProtection="1">
      <alignment vertical="center"/>
      <protection locked="0"/>
    </xf>
    <xf numFmtId="49" fontId="17" fillId="36" borderId="18" xfId="58" applyNumberFormat="1" applyFont="1" applyFill="1" applyBorder="1" applyAlignment="1" applyProtection="1">
      <alignment vertical="center"/>
      <protection locked="0"/>
    </xf>
    <xf numFmtId="0" fontId="17" fillId="36" borderId="32" xfId="58" applyFont="1" applyFill="1" applyBorder="1" applyAlignment="1" applyProtection="1">
      <alignment vertical="center"/>
      <protection locked="0"/>
    </xf>
    <xf numFmtId="0" fontId="17" fillId="35" borderId="30" xfId="58" applyFont="1" applyFill="1" applyBorder="1" applyAlignment="1">
      <alignment horizontal="center"/>
      <protection/>
    </xf>
    <xf numFmtId="0" fontId="17" fillId="0" borderId="31" xfId="58" applyFont="1" applyBorder="1" applyAlignment="1" applyProtection="1">
      <alignment vertical="center"/>
      <protection locked="0"/>
    </xf>
    <xf numFmtId="0" fontId="17" fillId="0" borderId="18" xfId="58" applyFont="1" applyBorder="1" applyAlignment="1" applyProtection="1">
      <alignment vertical="center"/>
      <protection locked="0"/>
    </xf>
    <xf numFmtId="0" fontId="17" fillId="0" borderId="32" xfId="58" applyFont="1" applyBorder="1" applyAlignment="1" applyProtection="1">
      <alignment vertical="center"/>
      <protection locked="0"/>
    </xf>
    <xf numFmtId="0" fontId="17" fillId="35" borderId="30" xfId="58" applyFont="1" applyFill="1" applyBorder="1" applyAlignment="1">
      <alignment horizontal="center" vertical="center"/>
      <protection/>
    </xf>
    <xf numFmtId="0" fontId="17" fillId="36" borderId="31" xfId="58" applyFont="1" applyFill="1" applyBorder="1" applyAlignment="1">
      <alignment vertical="center"/>
      <protection/>
    </xf>
    <xf numFmtId="0" fontId="17" fillId="36" borderId="18" xfId="58" applyFont="1" applyFill="1" applyBorder="1" applyAlignment="1">
      <alignment vertical="center"/>
      <protection/>
    </xf>
    <xf numFmtId="0" fontId="17" fillId="36" borderId="32" xfId="58" applyFont="1" applyFill="1" applyBorder="1" applyAlignment="1">
      <alignment vertical="center"/>
      <protection/>
    </xf>
    <xf numFmtId="0" fontId="17" fillId="0" borderId="31" xfId="58" applyFont="1" applyBorder="1" applyAlignment="1">
      <alignment vertical="center"/>
      <protection/>
    </xf>
    <xf numFmtId="0" fontId="17" fillId="0" borderId="18" xfId="58" applyFont="1" applyBorder="1" applyAlignment="1">
      <alignment vertical="center"/>
      <protection/>
    </xf>
    <xf numFmtId="0" fontId="17" fillId="0" borderId="33" xfId="58" applyFont="1" applyBorder="1" applyAlignment="1">
      <alignment vertical="center"/>
      <protection/>
    </xf>
    <xf numFmtId="0" fontId="17" fillId="35" borderId="34" xfId="58" applyFont="1" applyFill="1" applyBorder="1" applyAlignment="1">
      <alignment vertical="center"/>
      <protection/>
    </xf>
    <xf numFmtId="0" fontId="17" fillId="36" borderId="35" xfId="58" applyFont="1" applyFill="1" applyBorder="1" applyAlignment="1">
      <alignment vertical="center"/>
      <protection/>
    </xf>
    <xf numFmtId="0" fontId="17" fillId="36" borderId="36" xfId="58" applyFont="1" applyFill="1" applyBorder="1" applyAlignment="1">
      <alignment vertical="center"/>
      <protection/>
    </xf>
    <xf numFmtId="0" fontId="17" fillId="36" borderId="37" xfId="58" applyFont="1" applyFill="1" applyBorder="1" applyAlignment="1">
      <alignment vertical="center"/>
      <protection/>
    </xf>
    <xf numFmtId="0" fontId="17" fillId="35" borderId="34" xfId="58" applyFont="1" applyFill="1" applyBorder="1" applyAlignment="1">
      <alignment horizontal="center"/>
      <protection/>
    </xf>
    <xf numFmtId="0" fontId="17" fillId="0" borderId="35" xfId="58" applyFont="1" applyBorder="1" applyAlignment="1">
      <alignment vertical="center"/>
      <protection/>
    </xf>
    <xf numFmtId="0" fontId="17" fillId="0" borderId="36" xfId="58" applyFont="1" applyBorder="1" applyAlignment="1">
      <alignment vertical="center"/>
      <protection/>
    </xf>
    <xf numFmtId="0" fontId="17" fillId="0" borderId="37" xfId="58" applyFont="1" applyBorder="1" applyAlignment="1" applyProtection="1">
      <alignment vertical="center"/>
      <protection locked="0"/>
    </xf>
    <xf numFmtId="10" fontId="0" fillId="33" borderId="10" xfId="61" applyNumberFormat="1" applyFont="1" applyFill="1" applyBorder="1" applyAlignment="1" applyProtection="1">
      <alignment/>
      <protection locked="0"/>
    </xf>
    <xf numFmtId="10" fontId="0" fillId="33" borderId="10" xfId="61" applyNumberFormat="1" applyFont="1" applyFill="1" applyBorder="1" applyAlignment="1" applyProtection="1">
      <alignment wrapText="1"/>
      <protection locked="0"/>
    </xf>
    <xf numFmtId="0" fontId="0" fillId="0" borderId="0" xfId="0" applyFont="1" applyBorder="1" applyAlignment="1" applyProtection="1">
      <alignment vertical="top" wrapText="1"/>
      <protection locked="0"/>
    </xf>
    <xf numFmtId="0" fontId="1" fillId="0" borderId="0" xfId="0" applyFont="1" applyBorder="1" applyAlignment="1" applyProtection="1" quotePrefix="1">
      <alignment horizontal="left" wrapText="1"/>
      <protection/>
    </xf>
    <xf numFmtId="0" fontId="1" fillId="0" borderId="0" xfId="0" applyFont="1" applyBorder="1" applyAlignment="1" applyProtection="1">
      <alignment horizontal="left" wrapText="1"/>
      <protection/>
    </xf>
    <xf numFmtId="0" fontId="10" fillId="0" borderId="0" xfId="0" applyFont="1" applyBorder="1" applyAlignment="1" applyProtection="1">
      <alignment horizontal="center" wrapText="1"/>
      <protection/>
    </xf>
    <xf numFmtId="0" fontId="10" fillId="33" borderId="0" xfId="0" applyFont="1" applyFill="1" applyAlignment="1">
      <alignment horizontal="center"/>
    </xf>
    <xf numFmtId="0" fontId="11" fillId="33" borderId="0" xfId="0" applyFont="1" applyFill="1" applyAlignment="1">
      <alignment horizontal="center"/>
    </xf>
    <xf numFmtId="0" fontId="10"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0" fontId="10" fillId="33" borderId="0" xfId="0" applyFont="1" applyFill="1" applyAlignment="1">
      <alignment horizontal="right"/>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11">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10"/>
      </font>
      <fill>
        <patternFill>
          <bgColor indexed="22"/>
        </patternFill>
      </fill>
    </dxf>
    <dxf>
      <font>
        <color indexed="1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fgColor indexed="65"/>
          <bgColor indexed="22"/>
        </patternFill>
      </fill>
    </dxf>
    <dxf>
      <fill>
        <patternFill>
          <bgColor indexed="22"/>
        </patternFill>
      </fill>
    </dxf>
    <dxf>
      <fill>
        <patternFill>
          <bgColor indexed="22"/>
        </patternFill>
      </fill>
    </dxf>
    <dxf>
      <fill>
        <patternFill>
          <bgColor indexed="22"/>
        </patternFill>
      </fill>
    </dxf>
    <dxf>
      <fill>
        <patternFill patternType="solid">
          <fgColor indexed="65"/>
          <bgColor indexed="22"/>
        </patternFill>
      </fill>
    </dxf>
    <dxf>
      <fill>
        <patternFill>
          <bgColor indexed="22"/>
        </patternFill>
      </fill>
    </dxf>
    <dxf>
      <fill>
        <patternFill>
          <bgColor indexed="22"/>
        </patternFill>
      </fill>
    </dxf>
    <dxf>
      <fill>
        <patternFill patternType="solid">
          <fgColor indexed="65"/>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fgColor indexed="65"/>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fgColor indexed="65"/>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4</xdr:row>
      <xdr:rowOff>0</xdr:rowOff>
    </xdr:to>
    <xdr:sp>
      <xdr:nvSpPr>
        <xdr:cNvPr id="1" name="AutoShape 1"/>
        <xdr:cNvSpPr>
          <a:spLocks/>
        </xdr:cNvSpPr>
      </xdr:nvSpPr>
      <xdr:spPr>
        <a:xfrm>
          <a:off x="762000" y="381000"/>
          <a:ext cx="3048000" cy="38100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1:  Complete </a:t>
          </a:r>
          <a:r>
            <a:rPr lang="en-US" cap="none" sz="1000" b="1" i="0" u="none" baseline="0">
              <a:solidFill>
                <a:srgbClr val="000000"/>
              </a:solidFill>
              <a:latin typeface="Arial"/>
              <a:ea typeface="Arial"/>
              <a:cs typeface="Arial"/>
            </a:rPr>
            <a:t>Contact</a:t>
          </a:r>
          <a:r>
            <a:rPr lang="en-US" cap="none" sz="1000" b="0" i="0" u="none" baseline="0">
              <a:solidFill>
                <a:srgbClr val="000000"/>
              </a:solidFill>
              <a:latin typeface="Arial"/>
              <a:ea typeface="Arial"/>
              <a:cs typeface="Arial"/>
            </a:rPr>
            <a:t> Worksheet.
</a:t>
          </a:r>
        </a:p>
      </xdr:txBody>
    </xdr:sp>
    <xdr:clientData/>
  </xdr:twoCellAnchor>
  <xdr:twoCellAnchor>
    <xdr:from>
      <xdr:col>1</xdr:col>
      <xdr:colOff>9525</xdr:colOff>
      <xdr:row>6</xdr:row>
      <xdr:rowOff>0</xdr:rowOff>
    </xdr:from>
    <xdr:to>
      <xdr:col>4</xdr:col>
      <xdr:colOff>752475</xdr:colOff>
      <xdr:row>9</xdr:row>
      <xdr:rowOff>180975</xdr:rowOff>
    </xdr:to>
    <xdr:sp>
      <xdr:nvSpPr>
        <xdr:cNvPr id="2" name="AutoShape 2"/>
        <xdr:cNvSpPr>
          <a:spLocks/>
        </xdr:cNvSpPr>
      </xdr:nvSpPr>
      <xdr:spPr>
        <a:xfrm>
          <a:off x="771525" y="1143000"/>
          <a:ext cx="3028950" cy="75247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2:  Input </a:t>
          </a:r>
          <a:r>
            <a:rPr lang="en-US" cap="none" sz="1000" b="1" i="0" u="none" baseline="0">
              <a:solidFill>
                <a:srgbClr val="000000"/>
              </a:solidFill>
              <a:latin typeface="Arial"/>
              <a:ea typeface="Arial"/>
              <a:cs typeface="Arial"/>
            </a:rPr>
            <a:t>Local Revenue </a:t>
          </a:r>
          <a:r>
            <a:rPr lang="en-US" cap="none" sz="1000" b="0" i="0" u="none" baseline="0">
              <a:solidFill>
                <a:srgbClr val="000000"/>
              </a:solidFill>
              <a:latin typeface="Arial"/>
              <a:ea typeface="Arial"/>
              <a:cs typeface="Arial"/>
            </a:rPr>
            <a:t>data for deficit year and estimates for current and  subsequent years to calculate effect on General Fund.
</a:t>
          </a:r>
        </a:p>
      </xdr:txBody>
    </xdr:sp>
    <xdr:clientData/>
  </xdr:twoCellAnchor>
  <xdr:twoCellAnchor>
    <xdr:from>
      <xdr:col>1</xdr:col>
      <xdr:colOff>0</xdr:colOff>
      <xdr:row>19</xdr:row>
      <xdr:rowOff>9525</xdr:rowOff>
    </xdr:from>
    <xdr:to>
      <xdr:col>5</xdr:col>
      <xdr:colOff>9525</xdr:colOff>
      <xdr:row>24</xdr:row>
      <xdr:rowOff>0</xdr:rowOff>
    </xdr:to>
    <xdr:sp>
      <xdr:nvSpPr>
        <xdr:cNvPr id="3" name="AutoShape 3"/>
        <xdr:cNvSpPr>
          <a:spLocks/>
        </xdr:cNvSpPr>
      </xdr:nvSpPr>
      <xdr:spPr>
        <a:xfrm>
          <a:off x="762000" y="3629025"/>
          <a:ext cx="3057525" cy="94297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4:  Input membership, foundation, taxable value, and Spec. Ed. Data for 2015-2016 to calculate </a:t>
          </a:r>
          <a:r>
            <a:rPr lang="en-US" cap="none" sz="1000" b="1" i="0" u="none" baseline="0">
              <a:solidFill>
                <a:srgbClr val="000000"/>
              </a:solidFill>
              <a:latin typeface="Arial"/>
              <a:ea typeface="Arial"/>
              <a:cs typeface="Arial"/>
            </a:rPr>
            <a:t>2015-16 State Foundation e</a:t>
          </a:r>
          <a:r>
            <a:rPr lang="en-US" cap="none" sz="1000" b="0" i="0" u="none" baseline="0">
              <a:solidFill>
                <a:srgbClr val="000000"/>
              </a:solidFill>
              <a:latin typeface="Arial"/>
              <a:ea typeface="Arial"/>
              <a:cs typeface="Arial"/>
            </a:rPr>
            <a:t>ffect on General Fund.
</a:t>
          </a:r>
        </a:p>
      </xdr:txBody>
    </xdr:sp>
    <xdr:clientData/>
  </xdr:twoCellAnchor>
  <xdr:twoCellAnchor>
    <xdr:from>
      <xdr:col>1</xdr:col>
      <xdr:colOff>0</xdr:colOff>
      <xdr:row>33</xdr:row>
      <xdr:rowOff>0</xdr:rowOff>
    </xdr:from>
    <xdr:to>
      <xdr:col>5</xdr:col>
      <xdr:colOff>9525</xdr:colOff>
      <xdr:row>38</xdr:row>
      <xdr:rowOff>0</xdr:rowOff>
    </xdr:to>
    <xdr:sp>
      <xdr:nvSpPr>
        <xdr:cNvPr id="4" name="AutoShape 4"/>
        <xdr:cNvSpPr>
          <a:spLocks/>
        </xdr:cNvSpPr>
      </xdr:nvSpPr>
      <xdr:spPr>
        <a:xfrm>
          <a:off x="762000" y="6286500"/>
          <a:ext cx="3057525" cy="95250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6:  Input applicable State funded program data for deficit year</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and estimates for current year and subsequent years to calculate </a:t>
          </a:r>
          <a:r>
            <a:rPr lang="en-US" cap="none" sz="1000" b="1" i="0" u="none" baseline="0">
              <a:solidFill>
                <a:srgbClr val="000000"/>
              </a:solidFill>
              <a:latin typeface="Arial"/>
              <a:ea typeface="Arial"/>
              <a:cs typeface="Arial"/>
            </a:rPr>
            <a:t>Total State Revenue</a:t>
          </a:r>
          <a:r>
            <a:rPr lang="en-US" cap="none" sz="1000" b="0" i="0" u="none" baseline="0">
              <a:solidFill>
                <a:srgbClr val="000000"/>
              </a:solidFill>
              <a:latin typeface="Arial"/>
              <a:ea typeface="Arial"/>
              <a:cs typeface="Arial"/>
            </a:rPr>
            <a:t> effect on General Fund.
</a:t>
          </a:r>
        </a:p>
      </xdr:txBody>
    </xdr:sp>
    <xdr:clientData/>
  </xdr:twoCellAnchor>
  <xdr:twoCellAnchor>
    <xdr:from>
      <xdr:col>7</xdr:col>
      <xdr:colOff>0</xdr:colOff>
      <xdr:row>1</xdr:row>
      <xdr:rowOff>180975</xdr:rowOff>
    </xdr:from>
    <xdr:to>
      <xdr:col>10</xdr:col>
      <xdr:colOff>752475</xdr:colOff>
      <xdr:row>7</xdr:row>
      <xdr:rowOff>0</xdr:rowOff>
    </xdr:to>
    <xdr:sp>
      <xdr:nvSpPr>
        <xdr:cNvPr id="5" name="AutoShape 5"/>
        <xdr:cNvSpPr>
          <a:spLocks/>
        </xdr:cNvSpPr>
      </xdr:nvSpPr>
      <xdr:spPr>
        <a:xfrm>
          <a:off x="5334000" y="371475"/>
          <a:ext cx="3038475" cy="96202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7:  Input applicable Federal funded program data for deficit year and estimates for current year and subsequent years to calculate </a:t>
          </a:r>
          <a:r>
            <a:rPr lang="en-US" cap="none" sz="1000" b="1" i="0" u="none" baseline="0">
              <a:solidFill>
                <a:srgbClr val="000000"/>
              </a:solidFill>
              <a:latin typeface="Arial"/>
              <a:ea typeface="Arial"/>
              <a:cs typeface="Arial"/>
            </a:rPr>
            <a:t>Federal Revenue </a:t>
          </a:r>
          <a:r>
            <a:rPr lang="en-US" cap="none" sz="1000" b="0" i="0" u="none" baseline="0">
              <a:solidFill>
                <a:srgbClr val="000000"/>
              </a:solidFill>
              <a:latin typeface="Arial"/>
              <a:ea typeface="Arial"/>
              <a:cs typeface="Arial"/>
            </a:rPr>
            <a:t>effect on General Fund.
</a:t>
          </a:r>
        </a:p>
      </xdr:txBody>
    </xdr:sp>
    <xdr:clientData/>
  </xdr:twoCellAnchor>
  <xdr:twoCellAnchor>
    <xdr:from>
      <xdr:col>7</xdr:col>
      <xdr:colOff>0</xdr:colOff>
      <xdr:row>8</xdr:row>
      <xdr:rowOff>180975</xdr:rowOff>
    </xdr:from>
    <xdr:to>
      <xdr:col>11</xdr:col>
      <xdr:colOff>0</xdr:colOff>
      <xdr:row>13</xdr:row>
      <xdr:rowOff>180975</xdr:rowOff>
    </xdr:to>
    <xdr:sp>
      <xdr:nvSpPr>
        <xdr:cNvPr id="6" name="AutoShape 6"/>
        <xdr:cNvSpPr>
          <a:spLocks/>
        </xdr:cNvSpPr>
      </xdr:nvSpPr>
      <xdr:spPr>
        <a:xfrm>
          <a:off x="5334000" y="1704975"/>
          <a:ext cx="3048000" cy="95250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8:  Input Instruction expenditure data for deficit year and target expenditure data for current year and subsequent years to calculate </a:t>
          </a:r>
          <a:r>
            <a:rPr lang="en-US" cap="none" sz="1000" b="1" i="0" u="none" baseline="0">
              <a:solidFill>
                <a:srgbClr val="000000"/>
              </a:solidFill>
              <a:latin typeface="Arial"/>
              <a:ea typeface="Arial"/>
              <a:cs typeface="Arial"/>
            </a:rPr>
            <a:t>Instruction</a:t>
          </a:r>
          <a:r>
            <a:rPr lang="en-US" cap="none" sz="1000" b="0" i="0" u="none" baseline="0">
              <a:solidFill>
                <a:srgbClr val="000000"/>
              </a:solidFill>
              <a:latin typeface="Arial"/>
              <a:ea typeface="Arial"/>
              <a:cs typeface="Arial"/>
            </a:rPr>
            <a:t> effect on General Fund.
</a:t>
          </a:r>
        </a:p>
      </xdr:txBody>
    </xdr:sp>
    <xdr:clientData/>
  </xdr:twoCellAnchor>
  <xdr:twoCellAnchor>
    <xdr:from>
      <xdr:col>7</xdr:col>
      <xdr:colOff>19050</xdr:colOff>
      <xdr:row>23</xdr:row>
      <xdr:rowOff>0</xdr:rowOff>
    </xdr:from>
    <xdr:to>
      <xdr:col>10</xdr:col>
      <xdr:colOff>752475</xdr:colOff>
      <xdr:row>28</xdr:row>
      <xdr:rowOff>9525</xdr:rowOff>
    </xdr:to>
    <xdr:sp>
      <xdr:nvSpPr>
        <xdr:cNvPr id="7" name="AutoShape 7"/>
        <xdr:cNvSpPr>
          <a:spLocks/>
        </xdr:cNvSpPr>
      </xdr:nvSpPr>
      <xdr:spPr>
        <a:xfrm>
          <a:off x="5353050" y="4381500"/>
          <a:ext cx="3019425" cy="96202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10:  Input Support expenditure data for deficit year and target expenditure data for current year and subsequent years to calculate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effect on General Fund.
</a:t>
          </a:r>
        </a:p>
      </xdr:txBody>
    </xdr:sp>
    <xdr:clientData/>
  </xdr:twoCellAnchor>
  <xdr:twoCellAnchor>
    <xdr:from>
      <xdr:col>7</xdr:col>
      <xdr:colOff>9525</xdr:colOff>
      <xdr:row>16</xdr:row>
      <xdr:rowOff>9525</xdr:rowOff>
    </xdr:from>
    <xdr:to>
      <xdr:col>10</xdr:col>
      <xdr:colOff>752475</xdr:colOff>
      <xdr:row>18</xdr:row>
      <xdr:rowOff>180975</xdr:rowOff>
    </xdr:to>
    <xdr:sp>
      <xdr:nvSpPr>
        <xdr:cNvPr id="8" name="AutoShape 8"/>
        <xdr:cNvSpPr>
          <a:spLocks/>
        </xdr:cNvSpPr>
      </xdr:nvSpPr>
      <xdr:spPr>
        <a:xfrm>
          <a:off x="5343525" y="3057525"/>
          <a:ext cx="3028950" cy="55245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9:  Input details of change in instruction expenditures to calculate </a:t>
          </a:r>
          <a:r>
            <a:rPr lang="en-US" cap="none" sz="1000" b="1" i="0" u="none" baseline="0">
              <a:solidFill>
                <a:srgbClr val="000000"/>
              </a:solidFill>
              <a:latin typeface="Arial"/>
              <a:ea typeface="Arial"/>
              <a:cs typeface="Arial"/>
            </a:rPr>
            <a:t>Instruction Change</a:t>
          </a:r>
          <a:r>
            <a:rPr lang="en-US" cap="none" sz="1000" b="0" i="0" u="none" baseline="0">
              <a:solidFill>
                <a:srgbClr val="000000"/>
              </a:solidFill>
              <a:latin typeface="Arial"/>
              <a:ea typeface="Arial"/>
              <a:cs typeface="Arial"/>
            </a:rPr>
            <a:t>.
</a:t>
          </a:r>
        </a:p>
      </xdr:txBody>
    </xdr:sp>
    <xdr:clientData/>
  </xdr:twoCellAnchor>
  <xdr:twoCellAnchor>
    <xdr:from>
      <xdr:col>12</xdr:col>
      <xdr:colOff>9525</xdr:colOff>
      <xdr:row>18</xdr:row>
      <xdr:rowOff>0</xdr:rowOff>
    </xdr:from>
    <xdr:to>
      <xdr:col>17</xdr:col>
      <xdr:colOff>0</xdr:colOff>
      <xdr:row>23</xdr:row>
      <xdr:rowOff>180975</xdr:rowOff>
    </xdr:to>
    <xdr:sp>
      <xdr:nvSpPr>
        <xdr:cNvPr id="9" name="AutoShape 9"/>
        <xdr:cNvSpPr>
          <a:spLocks/>
        </xdr:cNvSpPr>
      </xdr:nvSpPr>
      <xdr:spPr>
        <a:xfrm>
          <a:off x="9153525" y="3429000"/>
          <a:ext cx="3800475" cy="1133475"/>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Do totals from </a:t>
          </a:r>
          <a:r>
            <a:rPr lang="en-US" cap="none" sz="1000" b="1" i="0" u="none" baseline="0">
              <a:solidFill>
                <a:srgbClr val="000000"/>
              </a:solidFill>
              <a:latin typeface="Arial"/>
              <a:ea typeface="Arial"/>
              <a:cs typeface="Arial"/>
            </a:rPr>
            <a:t>Instruction Change</a:t>
          </a:r>
          <a:r>
            <a:rPr lang="en-US" cap="none" sz="1000" b="0" i="0" u="none" baseline="0">
              <a:solidFill>
                <a:srgbClr val="000000"/>
              </a:solidFill>
              <a:latin typeface="Arial"/>
              <a:ea typeface="Arial"/>
              <a:cs typeface="Arial"/>
            </a:rPr>
            <a:t> equal difference column from </a:t>
          </a:r>
          <a:r>
            <a:rPr lang="en-US" cap="none" sz="1000" b="1" i="0" u="none" baseline="0">
              <a:solidFill>
                <a:srgbClr val="000000"/>
              </a:solidFill>
              <a:latin typeface="Arial"/>
              <a:ea typeface="Arial"/>
              <a:cs typeface="Arial"/>
            </a:rPr>
            <a:t>Instruction</a:t>
          </a:r>
          <a:r>
            <a:rPr lang="en-US" cap="none" sz="1000" b="0" i="0" u="none" baseline="0">
              <a:solidFill>
                <a:srgbClr val="000000"/>
              </a:solidFill>
              <a:latin typeface="Arial"/>
              <a:ea typeface="Arial"/>
              <a:cs typeface="Arial"/>
            </a:rPr>
            <a:t>? </a:t>
          </a:r>
        </a:p>
      </xdr:txBody>
    </xdr:sp>
    <xdr:clientData/>
  </xdr:twoCellAnchor>
  <xdr:twoCellAnchor>
    <xdr:from>
      <xdr:col>7</xdr:col>
      <xdr:colOff>0</xdr:colOff>
      <xdr:row>30</xdr:row>
      <xdr:rowOff>19050</xdr:rowOff>
    </xdr:from>
    <xdr:to>
      <xdr:col>11</xdr:col>
      <xdr:colOff>0</xdr:colOff>
      <xdr:row>32</xdr:row>
      <xdr:rowOff>180975</xdr:rowOff>
    </xdr:to>
    <xdr:sp>
      <xdr:nvSpPr>
        <xdr:cNvPr id="10" name="AutoShape 18"/>
        <xdr:cNvSpPr>
          <a:spLocks/>
        </xdr:cNvSpPr>
      </xdr:nvSpPr>
      <xdr:spPr>
        <a:xfrm>
          <a:off x="5334000" y="5734050"/>
          <a:ext cx="3048000" cy="54292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11: Input details of change in support expenditures to calculate </a:t>
          </a:r>
          <a:r>
            <a:rPr lang="en-US" cap="none" sz="1000" b="1" i="0" u="none" baseline="0">
              <a:solidFill>
                <a:srgbClr val="000000"/>
              </a:solidFill>
              <a:latin typeface="Arial"/>
              <a:ea typeface="Arial"/>
              <a:cs typeface="Arial"/>
            </a:rPr>
            <a:t>Support Change</a:t>
          </a:r>
          <a:r>
            <a:rPr lang="en-US" cap="none" sz="1000" b="0" i="0" u="none" baseline="0">
              <a:solidFill>
                <a:srgbClr val="000000"/>
              </a:solidFill>
              <a:latin typeface="Arial"/>
              <a:ea typeface="Arial"/>
              <a:cs typeface="Arial"/>
            </a:rPr>
            <a:t>.
</a:t>
          </a:r>
        </a:p>
      </xdr:txBody>
    </xdr:sp>
    <xdr:clientData/>
  </xdr:twoCellAnchor>
  <xdr:twoCellAnchor>
    <xdr:from>
      <xdr:col>12</xdr:col>
      <xdr:colOff>38100</xdr:colOff>
      <xdr:row>32</xdr:row>
      <xdr:rowOff>0</xdr:rowOff>
    </xdr:from>
    <xdr:to>
      <xdr:col>16</xdr:col>
      <xdr:colOff>733425</xdr:colOff>
      <xdr:row>38</xdr:row>
      <xdr:rowOff>0</xdr:rowOff>
    </xdr:to>
    <xdr:sp>
      <xdr:nvSpPr>
        <xdr:cNvPr id="11" name="AutoShape 20"/>
        <xdr:cNvSpPr>
          <a:spLocks/>
        </xdr:cNvSpPr>
      </xdr:nvSpPr>
      <xdr:spPr>
        <a:xfrm>
          <a:off x="9182100" y="6096000"/>
          <a:ext cx="3743325" cy="1143000"/>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Do totals from </a:t>
          </a:r>
          <a:r>
            <a:rPr lang="en-US" cap="none" sz="1000" b="1" i="0" u="none" baseline="0">
              <a:solidFill>
                <a:srgbClr val="000000"/>
              </a:solidFill>
              <a:latin typeface="Arial"/>
              <a:ea typeface="Arial"/>
              <a:cs typeface="Arial"/>
            </a:rPr>
            <a:t>Support Change</a:t>
          </a:r>
          <a:r>
            <a:rPr lang="en-US" cap="none" sz="1000" b="0" i="0" u="none" baseline="0">
              <a:solidFill>
                <a:srgbClr val="000000"/>
              </a:solidFill>
              <a:latin typeface="Arial"/>
              <a:ea typeface="Arial"/>
              <a:cs typeface="Arial"/>
            </a:rPr>
            <a:t> equal difference column from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a:t>
          </a:r>
        </a:p>
      </xdr:txBody>
    </xdr:sp>
    <xdr:clientData/>
  </xdr:twoCellAnchor>
  <xdr:twoCellAnchor>
    <xdr:from>
      <xdr:col>6</xdr:col>
      <xdr:colOff>752475</xdr:colOff>
      <xdr:row>37</xdr:row>
      <xdr:rowOff>0</xdr:rowOff>
    </xdr:from>
    <xdr:to>
      <xdr:col>11</xdr:col>
      <xdr:colOff>0</xdr:colOff>
      <xdr:row>41</xdr:row>
      <xdr:rowOff>0</xdr:rowOff>
    </xdr:to>
    <xdr:sp>
      <xdr:nvSpPr>
        <xdr:cNvPr id="12" name="AutoShape 23"/>
        <xdr:cNvSpPr>
          <a:spLocks/>
        </xdr:cNvSpPr>
      </xdr:nvSpPr>
      <xdr:spPr>
        <a:xfrm>
          <a:off x="5324475" y="7048500"/>
          <a:ext cx="3057525" cy="76200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12: Input all missing items on </a:t>
          </a:r>
          <a:r>
            <a:rPr lang="en-US" cap="none" sz="1000" b="1" i="0" u="none" baseline="0">
              <a:solidFill>
                <a:srgbClr val="000000"/>
              </a:solidFill>
              <a:latin typeface="Arial"/>
              <a:ea typeface="Arial"/>
              <a:cs typeface="Arial"/>
            </a:rPr>
            <a:t>DEP</a:t>
          </a:r>
          <a:r>
            <a:rPr lang="en-US" cap="none" sz="1000" b="0" i="0" u="none" baseline="0">
              <a:solidFill>
                <a:srgbClr val="000000"/>
              </a:solidFill>
              <a:latin typeface="Arial"/>
              <a:ea typeface="Arial"/>
              <a:cs typeface="Arial"/>
            </a:rPr>
            <a:t>, including beginning fund balance, Revenue from Other Political Subdivisions, and Incoming Transfers.
</a:t>
          </a:r>
        </a:p>
      </xdr:txBody>
    </xdr:sp>
    <xdr:clientData/>
  </xdr:twoCellAnchor>
  <xdr:twoCellAnchor>
    <xdr:from>
      <xdr:col>1</xdr:col>
      <xdr:colOff>0</xdr:colOff>
      <xdr:row>26</xdr:row>
      <xdr:rowOff>0</xdr:rowOff>
    </xdr:from>
    <xdr:to>
      <xdr:col>4</xdr:col>
      <xdr:colOff>752475</xdr:colOff>
      <xdr:row>30</xdr:row>
      <xdr:rowOff>180975</xdr:rowOff>
    </xdr:to>
    <xdr:sp>
      <xdr:nvSpPr>
        <xdr:cNvPr id="13" name="AutoShape 24"/>
        <xdr:cNvSpPr>
          <a:spLocks/>
        </xdr:cNvSpPr>
      </xdr:nvSpPr>
      <xdr:spPr>
        <a:xfrm>
          <a:off x="762000" y="4953000"/>
          <a:ext cx="3038475" cy="94297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5:  Input estimated membership, foundation, taxable value, and Spec. Ed. Data for 2016-2017  to calculate </a:t>
          </a:r>
          <a:r>
            <a:rPr lang="en-US" cap="none" sz="1000" b="1" i="0" u="none" baseline="0">
              <a:solidFill>
                <a:srgbClr val="000000"/>
              </a:solidFill>
              <a:latin typeface="Arial"/>
              <a:ea typeface="Arial"/>
              <a:cs typeface="Arial"/>
            </a:rPr>
            <a:t>2016-17</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State Foundation</a:t>
          </a:r>
          <a:r>
            <a:rPr lang="en-US" cap="none" sz="1000" b="0" i="0" u="none" baseline="0">
              <a:solidFill>
                <a:srgbClr val="000000"/>
              </a:solidFill>
              <a:latin typeface="Arial"/>
              <a:ea typeface="Arial"/>
              <a:cs typeface="Arial"/>
            </a:rPr>
            <a:t> effect on General Fund.
</a:t>
          </a:r>
        </a:p>
      </xdr:txBody>
    </xdr:sp>
    <xdr:clientData/>
  </xdr:twoCellAnchor>
  <xdr:twoCellAnchor>
    <xdr:from>
      <xdr:col>11</xdr:col>
      <xdr:colOff>752475</xdr:colOff>
      <xdr:row>40</xdr:row>
      <xdr:rowOff>0</xdr:rowOff>
    </xdr:from>
    <xdr:to>
      <xdr:col>17</xdr:col>
      <xdr:colOff>9525</xdr:colOff>
      <xdr:row>45</xdr:row>
      <xdr:rowOff>180975</xdr:rowOff>
    </xdr:to>
    <xdr:sp>
      <xdr:nvSpPr>
        <xdr:cNvPr id="14" name="AutoShape 29"/>
        <xdr:cNvSpPr>
          <a:spLocks/>
        </xdr:cNvSpPr>
      </xdr:nvSpPr>
      <xdr:spPr>
        <a:xfrm>
          <a:off x="9134475" y="7620000"/>
          <a:ext cx="3829050" cy="1133475"/>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Is the ending fund balance (Line 29) (Cell H32) a non-negative number?</a:t>
          </a:r>
        </a:p>
      </xdr:txBody>
    </xdr:sp>
    <xdr:clientData/>
  </xdr:twoCellAnchor>
  <xdr:twoCellAnchor>
    <xdr:from>
      <xdr:col>18</xdr:col>
      <xdr:colOff>9525</xdr:colOff>
      <xdr:row>40</xdr:row>
      <xdr:rowOff>180975</xdr:rowOff>
    </xdr:from>
    <xdr:to>
      <xdr:col>21</xdr:col>
      <xdr:colOff>752475</xdr:colOff>
      <xdr:row>44</xdr:row>
      <xdr:rowOff>161925</xdr:rowOff>
    </xdr:to>
    <xdr:sp>
      <xdr:nvSpPr>
        <xdr:cNvPr id="15" name="AutoShape 30"/>
        <xdr:cNvSpPr>
          <a:spLocks/>
        </xdr:cNvSpPr>
      </xdr:nvSpPr>
      <xdr:spPr>
        <a:xfrm>
          <a:off x="13725525" y="7800975"/>
          <a:ext cx="3028950" cy="74295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12b: Return to previous steps and establish revenue increases or expenditure reductions in order to yield non-negative ending fund balance.
</a:t>
          </a:r>
        </a:p>
      </xdr:txBody>
    </xdr:sp>
    <xdr:clientData/>
  </xdr:twoCellAnchor>
  <xdr:twoCellAnchor>
    <xdr:from>
      <xdr:col>7</xdr:col>
      <xdr:colOff>19050</xdr:colOff>
      <xdr:row>43</xdr:row>
      <xdr:rowOff>19050</xdr:rowOff>
    </xdr:from>
    <xdr:to>
      <xdr:col>11</xdr:col>
      <xdr:colOff>0</xdr:colOff>
      <xdr:row>47</xdr:row>
      <xdr:rowOff>0</xdr:rowOff>
    </xdr:to>
    <xdr:sp>
      <xdr:nvSpPr>
        <xdr:cNvPr id="16" name="AutoShape 33"/>
        <xdr:cNvSpPr>
          <a:spLocks/>
        </xdr:cNvSpPr>
      </xdr:nvSpPr>
      <xdr:spPr>
        <a:xfrm>
          <a:off x="5353050" y="8210550"/>
          <a:ext cx="3028950" cy="74295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13: Complete a Budgetary Control Report for each </a:t>
          </a:r>
          <a:r>
            <a:rPr lang="en-US" cap="none" sz="1000" b="1" i="0" u="none" baseline="0">
              <a:solidFill>
                <a:srgbClr val="000000"/>
              </a:solidFill>
              <a:latin typeface="Arial"/>
              <a:ea typeface="Arial"/>
              <a:cs typeface="Arial"/>
            </a:rPr>
            <a:t>Month </a:t>
          </a:r>
          <a:r>
            <a:rPr lang="en-US" cap="none" sz="1000" b="0" i="0" u="none" baseline="0">
              <a:solidFill>
                <a:srgbClr val="000000"/>
              </a:solidFill>
              <a:latin typeface="Arial"/>
              <a:ea typeface="Arial"/>
              <a:cs typeface="Arial"/>
            </a:rPr>
            <a:t>until the deficit elimination process is completed or a new plan is approved by MDE.
</a:t>
          </a:r>
        </a:p>
      </xdr:txBody>
    </xdr:sp>
    <xdr:clientData/>
  </xdr:twoCellAnchor>
  <xdr:twoCellAnchor>
    <xdr:from>
      <xdr:col>1</xdr:col>
      <xdr:colOff>0</xdr:colOff>
      <xdr:row>12</xdr:row>
      <xdr:rowOff>0</xdr:rowOff>
    </xdr:from>
    <xdr:to>
      <xdr:col>5</xdr:col>
      <xdr:colOff>0</xdr:colOff>
      <xdr:row>16</xdr:row>
      <xdr:rowOff>180975</xdr:rowOff>
    </xdr:to>
    <xdr:sp>
      <xdr:nvSpPr>
        <xdr:cNvPr id="17" name="AutoShape 39"/>
        <xdr:cNvSpPr>
          <a:spLocks/>
        </xdr:cNvSpPr>
      </xdr:nvSpPr>
      <xdr:spPr>
        <a:xfrm>
          <a:off x="762000" y="2286000"/>
          <a:ext cx="3048000" cy="942975"/>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Step 3:  Input membership, foundation, taxable value, and Spec. Ed. Data for 2014-2015 to calculate </a:t>
          </a:r>
          <a:r>
            <a:rPr lang="en-US" cap="none" sz="1000" b="1" i="0" u="none" baseline="0">
              <a:solidFill>
                <a:srgbClr val="000000"/>
              </a:solidFill>
              <a:latin typeface="Arial"/>
              <a:ea typeface="Arial"/>
              <a:cs typeface="Arial"/>
            </a:rPr>
            <a:t>2014-15 State Foundation </a:t>
          </a:r>
          <a:r>
            <a:rPr lang="en-US" cap="none" sz="1000" b="0" i="0" u="none" baseline="0">
              <a:solidFill>
                <a:srgbClr val="000000"/>
              </a:solidFill>
              <a:latin typeface="Arial"/>
              <a:ea typeface="Arial"/>
              <a:cs typeface="Arial"/>
            </a:rPr>
            <a:t>effect on General Fund.
</a:t>
          </a:r>
        </a:p>
      </xdr:txBody>
    </xdr:sp>
    <xdr:clientData/>
  </xdr:twoCellAnchor>
  <xdr:twoCellAnchor>
    <xdr:from>
      <xdr:col>3</xdr:col>
      <xdr:colOff>0</xdr:colOff>
      <xdr:row>4</xdr:row>
      <xdr:rowOff>0</xdr:rowOff>
    </xdr:from>
    <xdr:to>
      <xdr:col>3</xdr:col>
      <xdr:colOff>0</xdr:colOff>
      <xdr:row>5</xdr:row>
      <xdr:rowOff>180975</xdr:rowOff>
    </xdr:to>
    <xdr:sp>
      <xdr:nvSpPr>
        <xdr:cNvPr id="18" name="Line 41"/>
        <xdr:cNvSpPr>
          <a:spLocks/>
        </xdr:cNvSpPr>
      </xdr:nvSpPr>
      <xdr:spPr>
        <a:xfrm>
          <a:off x="2286000" y="7620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180975</xdr:rowOff>
    </xdr:from>
    <xdr:to>
      <xdr:col>3</xdr:col>
      <xdr:colOff>0</xdr:colOff>
      <xdr:row>12</xdr:row>
      <xdr:rowOff>0</xdr:rowOff>
    </xdr:to>
    <xdr:sp>
      <xdr:nvSpPr>
        <xdr:cNvPr id="19" name="Line 42"/>
        <xdr:cNvSpPr>
          <a:spLocks/>
        </xdr:cNvSpPr>
      </xdr:nvSpPr>
      <xdr:spPr>
        <a:xfrm>
          <a:off x="2286000" y="18954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180975</xdr:rowOff>
    </xdr:from>
    <xdr:to>
      <xdr:col>3</xdr:col>
      <xdr:colOff>0</xdr:colOff>
      <xdr:row>19</xdr:row>
      <xdr:rowOff>9525</xdr:rowOff>
    </xdr:to>
    <xdr:sp>
      <xdr:nvSpPr>
        <xdr:cNvPr id="20" name="Line 43"/>
        <xdr:cNvSpPr>
          <a:spLocks/>
        </xdr:cNvSpPr>
      </xdr:nvSpPr>
      <xdr:spPr>
        <a:xfrm>
          <a:off x="2286000" y="32289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9525</xdr:colOff>
      <xdr:row>25</xdr:row>
      <xdr:rowOff>180975</xdr:rowOff>
    </xdr:to>
    <xdr:sp>
      <xdr:nvSpPr>
        <xdr:cNvPr id="21" name="Line 44"/>
        <xdr:cNvSpPr>
          <a:spLocks/>
        </xdr:cNvSpPr>
      </xdr:nvSpPr>
      <xdr:spPr>
        <a:xfrm>
          <a:off x="2286000" y="4572000"/>
          <a:ext cx="95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30</xdr:row>
      <xdr:rowOff>180975</xdr:rowOff>
    </xdr:from>
    <xdr:to>
      <xdr:col>3</xdr:col>
      <xdr:colOff>0</xdr:colOff>
      <xdr:row>32</xdr:row>
      <xdr:rowOff>180975</xdr:rowOff>
    </xdr:to>
    <xdr:sp>
      <xdr:nvSpPr>
        <xdr:cNvPr id="22" name="Line 45"/>
        <xdr:cNvSpPr>
          <a:spLocks/>
        </xdr:cNvSpPr>
      </xdr:nvSpPr>
      <xdr:spPr>
        <a:xfrm flipH="1">
          <a:off x="2276475" y="5895975"/>
          <a:ext cx="9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xdr:row>
      <xdr:rowOff>66675</xdr:rowOff>
    </xdr:from>
    <xdr:to>
      <xdr:col>6</xdr:col>
      <xdr:colOff>752475</xdr:colOff>
      <xdr:row>35</xdr:row>
      <xdr:rowOff>66675</xdr:rowOff>
    </xdr:to>
    <xdr:sp>
      <xdr:nvSpPr>
        <xdr:cNvPr id="23" name="Line 47"/>
        <xdr:cNvSpPr>
          <a:spLocks/>
        </xdr:cNvSpPr>
      </xdr:nvSpPr>
      <xdr:spPr>
        <a:xfrm flipV="1">
          <a:off x="3819525" y="828675"/>
          <a:ext cx="1504950" cy="590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8</xdr:row>
      <xdr:rowOff>161925</xdr:rowOff>
    </xdr:to>
    <xdr:sp>
      <xdr:nvSpPr>
        <xdr:cNvPr id="24" name="Line 48"/>
        <xdr:cNvSpPr>
          <a:spLocks/>
        </xdr:cNvSpPr>
      </xdr:nvSpPr>
      <xdr:spPr>
        <a:xfrm>
          <a:off x="6858000" y="13335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13</xdr:row>
      <xdr:rowOff>180975</xdr:rowOff>
    </xdr:from>
    <xdr:to>
      <xdr:col>9</xdr:col>
      <xdr:colOff>0</xdr:colOff>
      <xdr:row>16</xdr:row>
      <xdr:rowOff>0</xdr:rowOff>
    </xdr:to>
    <xdr:sp>
      <xdr:nvSpPr>
        <xdr:cNvPr id="25" name="Line 49"/>
        <xdr:cNvSpPr>
          <a:spLocks/>
        </xdr:cNvSpPr>
      </xdr:nvSpPr>
      <xdr:spPr>
        <a:xfrm>
          <a:off x="6858000" y="265747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752475</xdr:colOff>
      <xdr:row>17</xdr:row>
      <xdr:rowOff>85725</xdr:rowOff>
    </xdr:from>
    <xdr:to>
      <xdr:col>12</xdr:col>
      <xdr:colOff>9525</xdr:colOff>
      <xdr:row>20</xdr:row>
      <xdr:rowOff>161925</xdr:rowOff>
    </xdr:to>
    <xdr:sp>
      <xdr:nvSpPr>
        <xdr:cNvPr id="26" name="Line 50"/>
        <xdr:cNvSpPr>
          <a:spLocks/>
        </xdr:cNvSpPr>
      </xdr:nvSpPr>
      <xdr:spPr>
        <a:xfrm>
          <a:off x="8372475" y="3324225"/>
          <a:ext cx="78105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752475</xdr:colOff>
      <xdr:row>11</xdr:row>
      <xdr:rowOff>66675</xdr:rowOff>
    </xdr:from>
    <xdr:to>
      <xdr:col>14</xdr:col>
      <xdr:colOff>361950</xdr:colOff>
      <xdr:row>17</xdr:row>
      <xdr:rowOff>180975</xdr:rowOff>
    </xdr:to>
    <xdr:sp>
      <xdr:nvSpPr>
        <xdr:cNvPr id="27" name="Line 51"/>
        <xdr:cNvSpPr>
          <a:spLocks/>
        </xdr:cNvSpPr>
      </xdr:nvSpPr>
      <xdr:spPr>
        <a:xfrm flipH="1" flipV="1">
          <a:off x="8372475" y="2162175"/>
          <a:ext cx="2657475" cy="1257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24</xdr:row>
      <xdr:rowOff>0</xdr:rowOff>
    </xdr:from>
    <xdr:to>
      <xdr:col>14</xdr:col>
      <xdr:colOff>390525</xdr:colOff>
      <xdr:row>25</xdr:row>
      <xdr:rowOff>85725</xdr:rowOff>
    </xdr:to>
    <xdr:sp>
      <xdr:nvSpPr>
        <xdr:cNvPr id="28" name="Line 52"/>
        <xdr:cNvSpPr>
          <a:spLocks/>
        </xdr:cNvSpPr>
      </xdr:nvSpPr>
      <xdr:spPr>
        <a:xfrm flipH="1">
          <a:off x="8353425" y="4572000"/>
          <a:ext cx="27051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28</xdr:row>
      <xdr:rowOff>9525</xdr:rowOff>
    </xdr:from>
    <xdr:to>
      <xdr:col>9</xdr:col>
      <xdr:colOff>0</xdr:colOff>
      <xdr:row>30</xdr:row>
      <xdr:rowOff>28575</xdr:rowOff>
    </xdr:to>
    <xdr:sp>
      <xdr:nvSpPr>
        <xdr:cNvPr id="29" name="Line 53"/>
        <xdr:cNvSpPr>
          <a:spLocks/>
        </xdr:cNvSpPr>
      </xdr:nvSpPr>
      <xdr:spPr>
        <a:xfrm flipH="1">
          <a:off x="6848475" y="5343525"/>
          <a:ext cx="9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104775</xdr:rowOff>
    </xdr:from>
    <xdr:to>
      <xdr:col>12</xdr:col>
      <xdr:colOff>28575</xdr:colOff>
      <xdr:row>34</xdr:row>
      <xdr:rowOff>180975</xdr:rowOff>
    </xdr:to>
    <xdr:sp>
      <xdr:nvSpPr>
        <xdr:cNvPr id="30" name="Line 54"/>
        <xdr:cNvSpPr>
          <a:spLocks/>
        </xdr:cNvSpPr>
      </xdr:nvSpPr>
      <xdr:spPr>
        <a:xfrm>
          <a:off x="8382000" y="6010275"/>
          <a:ext cx="7905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xdr:row>
      <xdr:rowOff>104775</xdr:rowOff>
    </xdr:from>
    <xdr:to>
      <xdr:col>14</xdr:col>
      <xdr:colOff>390525</xdr:colOff>
      <xdr:row>31</xdr:row>
      <xdr:rowOff>180975</xdr:rowOff>
    </xdr:to>
    <xdr:sp>
      <xdr:nvSpPr>
        <xdr:cNvPr id="31" name="Line 55"/>
        <xdr:cNvSpPr>
          <a:spLocks/>
        </xdr:cNvSpPr>
      </xdr:nvSpPr>
      <xdr:spPr>
        <a:xfrm flipH="1" flipV="1">
          <a:off x="8382000" y="4867275"/>
          <a:ext cx="267652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37</xdr:row>
      <xdr:rowOff>180975</xdr:rowOff>
    </xdr:from>
    <xdr:to>
      <xdr:col>14</xdr:col>
      <xdr:colOff>390525</xdr:colOff>
      <xdr:row>38</xdr:row>
      <xdr:rowOff>180975</xdr:rowOff>
    </xdr:to>
    <xdr:sp>
      <xdr:nvSpPr>
        <xdr:cNvPr id="32" name="Line 56"/>
        <xdr:cNvSpPr>
          <a:spLocks/>
        </xdr:cNvSpPr>
      </xdr:nvSpPr>
      <xdr:spPr>
        <a:xfrm flipH="1">
          <a:off x="8353425" y="7229475"/>
          <a:ext cx="27051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39</xdr:row>
      <xdr:rowOff>9525</xdr:rowOff>
    </xdr:from>
    <xdr:to>
      <xdr:col>12</xdr:col>
      <xdr:colOff>0</xdr:colOff>
      <xdr:row>42</xdr:row>
      <xdr:rowOff>180975</xdr:rowOff>
    </xdr:to>
    <xdr:sp>
      <xdr:nvSpPr>
        <xdr:cNvPr id="33" name="Line 57"/>
        <xdr:cNvSpPr>
          <a:spLocks/>
        </xdr:cNvSpPr>
      </xdr:nvSpPr>
      <xdr:spPr>
        <a:xfrm>
          <a:off x="8391525" y="7439025"/>
          <a:ext cx="75247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45</xdr:row>
      <xdr:rowOff>9525</xdr:rowOff>
    </xdr:from>
    <xdr:to>
      <xdr:col>14</xdr:col>
      <xdr:colOff>390525</xdr:colOff>
      <xdr:row>46</xdr:row>
      <xdr:rowOff>0</xdr:rowOff>
    </xdr:to>
    <xdr:sp>
      <xdr:nvSpPr>
        <xdr:cNvPr id="34" name="Line 58"/>
        <xdr:cNvSpPr>
          <a:spLocks/>
        </xdr:cNvSpPr>
      </xdr:nvSpPr>
      <xdr:spPr>
        <a:xfrm flipH="1" flipV="1">
          <a:off x="8382000" y="8582025"/>
          <a:ext cx="2676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42</xdr:row>
      <xdr:rowOff>180975</xdr:rowOff>
    </xdr:from>
    <xdr:to>
      <xdr:col>18</xdr:col>
      <xdr:colOff>9525</xdr:colOff>
      <xdr:row>42</xdr:row>
      <xdr:rowOff>180975</xdr:rowOff>
    </xdr:to>
    <xdr:sp>
      <xdr:nvSpPr>
        <xdr:cNvPr id="35" name="Line 59"/>
        <xdr:cNvSpPr>
          <a:spLocks/>
        </xdr:cNvSpPr>
      </xdr:nvSpPr>
      <xdr:spPr>
        <a:xfrm>
          <a:off x="12954000" y="818197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0</xdr:rowOff>
    </xdr:from>
    <xdr:to>
      <xdr:col>1</xdr:col>
      <xdr:colOff>0</xdr:colOff>
      <xdr:row>69</xdr:row>
      <xdr:rowOff>28575</xdr:rowOff>
    </xdr:to>
    <xdr:pic>
      <xdr:nvPicPr>
        <xdr:cNvPr id="1" name="Picture 1"/>
        <xdr:cNvPicPr preferRelativeResize="1">
          <a:picLocks noChangeAspect="1"/>
        </xdr:cNvPicPr>
      </xdr:nvPicPr>
      <xdr:blipFill>
        <a:blip r:embed="rId1"/>
        <a:stretch>
          <a:fillRect/>
        </a:stretch>
      </xdr:blipFill>
      <xdr:spPr>
        <a:xfrm>
          <a:off x="47625" y="11744325"/>
          <a:ext cx="8115300" cy="6343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E1:R105"/>
  <sheetViews>
    <sheetView zoomScalePageLayoutView="0" workbookViewId="0" topLeftCell="A1">
      <selection activeCell="A1" sqref="A1"/>
    </sheetView>
  </sheetViews>
  <sheetFormatPr defaultColWidth="9.140625" defaultRowHeight="15" customHeight="1"/>
  <cols>
    <col min="1" max="16384" width="11.421875" style="102" customWidth="1"/>
  </cols>
  <sheetData>
    <row r="1" spans="7:11" ht="15" customHeight="1">
      <c r="G1" s="103"/>
      <c r="H1" s="103"/>
      <c r="I1" s="103"/>
      <c r="J1" s="103"/>
      <c r="K1" s="103"/>
    </row>
    <row r="9" ht="15" customHeight="1">
      <c r="F9" s="104"/>
    </row>
    <row r="11" ht="15" customHeight="1">
      <c r="F11" s="105"/>
    </row>
    <row r="12" ht="15" customHeight="1">
      <c r="F12" s="103"/>
    </row>
    <row r="18" spans="6:15" ht="15" customHeight="1">
      <c r="F18" s="103"/>
      <c r="O18" s="107" t="s">
        <v>329</v>
      </c>
    </row>
    <row r="25" ht="15" customHeight="1">
      <c r="O25" s="107" t="s">
        <v>328</v>
      </c>
    </row>
    <row r="26" ht="15" customHeight="1">
      <c r="F26" s="103"/>
    </row>
    <row r="27" ht="15" customHeight="1">
      <c r="E27" s="103"/>
    </row>
    <row r="32" ht="15" customHeight="1">
      <c r="O32" s="107" t="s">
        <v>329</v>
      </c>
    </row>
    <row r="39" ht="15" customHeight="1">
      <c r="O39" s="107" t="s">
        <v>328</v>
      </c>
    </row>
    <row r="43" ht="15" customHeight="1">
      <c r="R43" s="107" t="s">
        <v>329</v>
      </c>
    </row>
    <row r="47" ht="15" customHeight="1">
      <c r="O47" s="107" t="s">
        <v>328</v>
      </c>
    </row>
    <row r="57" ht="15" customHeight="1">
      <c r="F57" s="103"/>
    </row>
    <row r="64" ht="15" customHeight="1">
      <c r="F64" s="103"/>
    </row>
    <row r="71" ht="15" customHeight="1">
      <c r="I71" s="106"/>
    </row>
    <row r="80" ht="15" customHeight="1">
      <c r="I80" s="106"/>
    </row>
    <row r="87" ht="15" customHeight="1">
      <c r="I87" s="106"/>
    </row>
    <row r="96" ht="15" customHeight="1">
      <c r="I96" s="106"/>
    </row>
    <row r="100" ht="15" customHeight="1">
      <c r="K100" s="106"/>
    </row>
    <row r="105" ht="15" customHeight="1">
      <c r="I105" s="106"/>
    </row>
  </sheetData>
  <sheetProtection password="CAD5" sheet="1"/>
  <printOptions/>
  <pageMargins left="0.75" right="0.75" top="1" bottom="1" header="0.5" footer="0.5"/>
  <pageSetup fitToHeight="1" fitToWidth="1" horizontalDpi="600" verticalDpi="600" orientation="landscape" scale="61"/>
  <drawing r:id="rId1"/>
</worksheet>
</file>

<file path=xl/worksheets/sheet10.xml><?xml version="1.0" encoding="utf-8"?>
<worksheet xmlns="http://schemas.openxmlformats.org/spreadsheetml/2006/main" xmlns:r="http://schemas.openxmlformats.org/officeDocument/2006/relationships">
  <sheetPr>
    <pageSetUpPr fitToPage="1"/>
  </sheetPr>
  <dimension ref="A2:M22"/>
  <sheetViews>
    <sheetView zoomScalePageLayoutView="0" workbookViewId="0" topLeftCell="A1">
      <selection activeCell="F4" sqref="F4"/>
    </sheetView>
  </sheetViews>
  <sheetFormatPr defaultColWidth="9.140625" defaultRowHeight="12.75"/>
  <cols>
    <col min="1" max="1" width="15.7109375" style="4" bestFit="1" customWidth="1"/>
    <col min="2" max="2" width="9.28125" style="4" bestFit="1" customWidth="1"/>
    <col min="3" max="3" width="13.421875" style="4" customWidth="1"/>
    <col min="4" max="4" width="15.00390625" style="4" customWidth="1"/>
    <col min="5" max="5" width="14.421875" style="4" bestFit="1" customWidth="1"/>
    <col min="6" max="6" width="8.28125" style="91" customWidth="1"/>
    <col min="7" max="7" width="15.421875" style="4" customWidth="1"/>
    <col min="8" max="8" width="14.00390625" style="4" bestFit="1" customWidth="1"/>
    <col min="9" max="9" width="8.421875" style="91" customWidth="1"/>
    <col min="10" max="16384" width="11.421875" style="4" customWidth="1"/>
  </cols>
  <sheetData>
    <row r="2" spans="1:9" s="36" customFormat="1" ht="38.25">
      <c r="A2" s="15"/>
      <c r="B2" s="16" t="s">
        <v>167</v>
      </c>
      <c r="C2" s="170" t="str">
        <f>Headers!A1</f>
        <v>Preliminary Actual
2014-15</v>
      </c>
      <c r="D2" s="170" t="str">
        <f>Headers!B1</f>
        <v>Budgeted
2015-16 </v>
      </c>
      <c r="E2" s="16" t="s">
        <v>161</v>
      </c>
      <c r="F2" s="147" t="s">
        <v>162</v>
      </c>
      <c r="G2" s="170" t="str">
        <f>Headers!C1</f>
        <v>Estimated
2016-17</v>
      </c>
      <c r="H2" s="16" t="s">
        <v>161</v>
      </c>
      <c r="I2" s="147" t="s">
        <v>162</v>
      </c>
    </row>
    <row r="3" spans="1:9" ht="12.75">
      <c r="A3" s="18" t="s">
        <v>163</v>
      </c>
      <c r="B3" s="148" t="s">
        <v>168</v>
      </c>
      <c r="C3" s="73">
        <v>3260366.71</v>
      </c>
      <c r="D3" s="149">
        <f>1661229.23+1512226.35+19000+1510</f>
        <v>3193965.58</v>
      </c>
      <c r="E3" s="74">
        <f aca="true" t="shared" si="0" ref="E3:E8">D3-C3</f>
        <v>-66401.12999999989</v>
      </c>
      <c r="F3" s="150">
        <f aca="true" t="shared" si="1" ref="F3:F8">E3/C3</f>
        <v>-0.020366153842860175</v>
      </c>
      <c r="G3" s="149">
        <v>3273456</v>
      </c>
      <c r="H3" s="74">
        <f aca="true" t="shared" si="2" ref="H3:H8">G3-D3</f>
        <v>79490.41999999993</v>
      </c>
      <c r="I3" s="150">
        <f aca="true" t="shared" si="3" ref="I3:I8">H3/D3</f>
        <v>0.024887688363880216</v>
      </c>
    </row>
    <row r="4" spans="1:9" ht="12.75">
      <c r="A4" s="18" t="s">
        <v>166</v>
      </c>
      <c r="B4" s="148">
        <v>118</v>
      </c>
      <c r="C4" s="73">
        <v>0</v>
      </c>
      <c r="D4" s="73">
        <v>0</v>
      </c>
      <c r="E4" s="74">
        <f t="shared" si="0"/>
        <v>0</v>
      </c>
      <c r="F4" s="150" t="e">
        <f t="shared" si="1"/>
        <v>#DIV/0!</v>
      </c>
      <c r="G4" s="73">
        <v>0</v>
      </c>
      <c r="H4" s="74">
        <f t="shared" si="2"/>
        <v>0</v>
      </c>
      <c r="I4" s="150" t="e">
        <f t="shared" si="3"/>
        <v>#DIV/0!</v>
      </c>
    </row>
    <row r="5" spans="1:9" ht="12.75">
      <c r="A5" s="48" t="s">
        <v>298</v>
      </c>
      <c r="B5" s="151">
        <v>119</v>
      </c>
      <c r="C5" s="73">
        <v>8846.9</v>
      </c>
      <c r="D5" s="73">
        <v>9524.65</v>
      </c>
      <c r="E5" s="74">
        <f t="shared" si="0"/>
        <v>677.75</v>
      </c>
      <c r="F5" s="150">
        <f t="shared" si="1"/>
        <v>0.07660875560930948</v>
      </c>
      <c r="G5" s="73">
        <v>10000</v>
      </c>
      <c r="H5" s="74">
        <f t="shared" si="2"/>
        <v>475.35000000000036</v>
      </c>
      <c r="I5" s="150">
        <f t="shared" si="3"/>
        <v>0.04990734567674407</v>
      </c>
    </row>
    <row r="6" spans="1:9" ht="12.75">
      <c r="A6" s="18" t="s">
        <v>164</v>
      </c>
      <c r="B6" s="148">
        <v>122</v>
      </c>
      <c r="C6" s="73">
        <v>720316.55</v>
      </c>
      <c r="D6" s="73">
        <v>620959.78</v>
      </c>
      <c r="E6" s="74">
        <f t="shared" si="0"/>
        <v>-99356.77000000002</v>
      </c>
      <c r="F6" s="150">
        <f t="shared" si="1"/>
        <v>-0.13793487043994757</v>
      </c>
      <c r="G6" s="73">
        <v>625960</v>
      </c>
      <c r="H6" s="74">
        <f t="shared" si="2"/>
        <v>5000.219999999972</v>
      </c>
      <c r="I6" s="150">
        <f t="shared" si="3"/>
        <v>0.008052405584142618</v>
      </c>
    </row>
    <row r="7" spans="1:9" ht="12.75">
      <c r="A7" s="18" t="s">
        <v>306</v>
      </c>
      <c r="B7" s="148" t="s">
        <v>169</v>
      </c>
      <c r="C7" s="73">
        <v>352635.72</v>
      </c>
      <c r="D7" s="73">
        <v>405944.2</v>
      </c>
      <c r="E7" s="74">
        <f t="shared" si="0"/>
        <v>53308.48000000004</v>
      </c>
      <c r="F7" s="150">
        <f t="shared" si="1"/>
        <v>0.15117152624243524</v>
      </c>
      <c r="G7" s="73">
        <v>410000</v>
      </c>
      <c r="H7" s="74">
        <f t="shared" si="2"/>
        <v>4055.7999999999884</v>
      </c>
      <c r="I7" s="150">
        <f t="shared" si="3"/>
        <v>0.009991028323597155</v>
      </c>
    </row>
    <row r="8" spans="1:9" ht="12.75">
      <c r="A8" s="18" t="s">
        <v>165</v>
      </c>
      <c r="B8" s="148" t="s">
        <v>299</v>
      </c>
      <c r="C8" s="73">
        <v>0</v>
      </c>
      <c r="D8" s="73">
        <v>0</v>
      </c>
      <c r="E8" s="74">
        <f t="shared" si="0"/>
        <v>0</v>
      </c>
      <c r="F8" s="150" t="e">
        <f t="shared" si="1"/>
        <v>#DIV/0!</v>
      </c>
      <c r="G8" s="73">
        <v>0</v>
      </c>
      <c r="H8" s="74">
        <f t="shared" si="2"/>
        <v>0</v>
      </c>
      <c r="I8" s="150" t="e">
        <f t="shared" si="3"/>
        <v>#DIV/0!</v>
      </c>
    </row>
    <row r="9" spans="1:9" ht="12.75">
      <c r="A9" s="18" t="s">
        <v>1</v>
      </c>
      <c r="B9" s="151" t="s">
        <v>170</v>
      </c>
      <c r="C9" s="152">
        <f>SUM(C3:C8)</f>
        <v>4342165.88</v>
      </c>
      <c r="D9" s="152">
        <f>SUM(D3:D8)</f>
        <v>4230394.21</v>
      </c>
      <c r="E9" s="152">
        <f>SUM(E3:E8)</f>
        <v>-111771.66999999987</v>
      </c>
      <c r="F9" s="153"/>
      <c r="G9" s="152">
        <f>SUM(G3:G8)</f>
        <v>4319416</v>
      </c>
      <c r="H9" s="152">
        <f>SUM(H3:H8)</f>
        <v>89021.78999999989</v>
      </c>
      <c r="I9" s="150"/>
    </row>
    <row r="10" spans="1:13" s="3" customFormat="1" ht="12.75">
      <c r="A10" s="28"/>
      <c r="C10" s="178"/>
      <c r="E10" s="178"/>
      <c r="F10" s="178"/>
      <c r="G10" s="178"/>
      <c r="H10" s="178"/>
      <c r="I10" s="28"/>
      <c r="J10" s="13"/>
      <c r="K10" s="51"/>
      <c r="M10" s="13"/>
    </row>
    <row r="11" spans="1:13" s="3" customFormat="1" ht="12.75">
      <c r="A11" s="179" t="s">
        <v>357</v>
      </c>
      <c r="C11" s="178"/>
      <c r="E11" s="178"/>
      <c r="F11" s="178"/>
      <c r="G11" s="178"/>
      <c r="H11" s="178"/>
      <c r="I11" s="28"/>
      <c r="J11" s="13"/>
      <c r="K11" s="51"/>
      <c r="M11" s="13"/>
    </row>
    <row r="12" spans="1:13" s="3" customFormat="1" ht="12.75">
      <c r="A12" s="180"/>
      <c r="B12" s="181"/>
      <c r="C12" s="182"/>
      <c r="D12" s="181"/>
      <c r="E12" s="182"/>
      <c r="F12" s="182"/>
      <c r="G12" s="182"/>
      <c r="H12" s="182"/>
      <c r="I12" s="183"/>
      <c r="J12" s="13"/>
      <c r="K12" s="51"/>
      <c r="M12" s="13"/>
    </row>
    <row r="13" spans="1:13" s="3" customFormat="1" ht="12.75">
      <c r="A13" s="184"/>
      <c r="B13" s="185"/>
      <c r="C13" s="186"/>
      <c r="D13" s="185"/>
      <c r="E13" s="186"/>
      <c r="F13" s="186"/>
      <c r="G13" s="186"/>
      <c r="H13" s="186"/>
      <c r="I13" s="187"/>
      <c r="J13" s="13"/>
      <c r="K13" s="51"/>
      <c r="M13" s="13"/>
    </row>
    <row r="14" spans="1:13" s="3" customFormat="1" ht="12.75">
      <c r="A14" s="184"/>
      <c r="B14" s="185"/>
      <c r="C14" s="186"/>
      <c r="D14" s="185"/>
      <c r="E14" s="186"/>
      <c r="F14" s="186"/>
      <c r="G14" s="186"/>
      <c r="H14" s="186"/>
      <c r="I14" s="187"/>
      <c r="J14" s="13"/>
      <c r="K14" s="51"/>
      <c r="M14" s="13"/>
    </row>
    <row r="15" spans="1:13" s="3" customFormat="1" ht="12.75">
      <c r="A15" s="184"/>
      <c r="B15" s="185"/>
      <c r="C15" s="186"/>
      <c r="D15" s="185"/>
      <c r="E15" s="186"/>
      <c r="F15" s="186"/>
      <c r="G15" s="186"/>
      <c r="H15" s="186"/>
      <c r="I15" s="187"/>
      <c r="J15" s="13"/>
      <c r="K15" s="51"/>
      <c r="M15" s="13"/>
    </row>
    <row r="16" spans="1:13" s="3" customFormat="1" ht="12.75">
      <c r="A16" s="184"/>
      <c r="B16" s="185"/>
      <c r="C16" s="186"/>
      <c r="D16" s="185"/>
      <c r="E16" s="186"/>
      <c r="F16" s="186"/>
      <c r="G16" s="186"/>
      <c r="H16" s="186"/>
      <c r="I16" s="187"/>
      <c r="J16" s="13"/>
      <c r="K16" s="51"/>
      <c r="M16" s="13"/>
    </row>
    <row r="17" spans="1:13" s="3" customFormat="1" ht="12.75">
      <c r="A17" s="184"/>
      <c r="B17" s="185"/>
      <c r="C17" s="186"/>
      <c r="D17" s="185"/>
      <c r="E17" s="186"/>
      <c r="F17" s="186"/>
      <c r="G17" s="186"/>
      <c r="H17" s="186"/>
      <c r="I17" s="187"/>
      <c r="J17" s="13"/>
      <c r="K17" s="51"/>
      <c r="M17" s="13"/>
    </row>
    <row r="18" spans="1:13" s="3" customFormat="1" ht="12.75">
      <c r="A18" s="184"/>
      <c r="B18" s="185"/>
      <c r="C18" s="186"/>
      <c r="D18" s="185"/>
      <c r="E18" s="186"/>
      <c r="F18" s="186"/>
      <c r="G18" s="186"/>
      <c r="H18" s="186"/>
      <c r="I18" s="187"/>
      <c r="J18" s="13"/>
      <c r="K18" s="51"/>
      <c r="M18" s="13"/>
    </row>
    <row r="19" spans="1:13" s="3" customFormat="1" ht="12.75">
      <c r="A19" s="184"/>
      <c r="B19" s="185"/>
      <c r="C19" s="186"/>
      <c r="D19" s="185"/>
      <c r="E19" s="186"/>
      <c r="F19" s="186"/>
      <c r="G19" s="186"/>
      <c r="H19" s="186"/>
      <c r="I19" s="187"/>
      <c r="J19" s="13"/>
      <c r="K19" s="51"/>
      <c r="M19" s="13"/>
    </row>
    <row r="20" spans="1:13" s="3" customFormat="1" ht="12.75">
      <c r="A20" s="184"/>
      <c r="B20" s="185"/>
      <c r="C20" s="186"/>
      <c r="D20" s="185"/>
      <c r="E20" s="186"/>
      <c r="F20" s="186"/>
      <c r="G20" s="186"/>
      <c r="H20" s="186"/>
      <c r="I20" s="187"/>
      <c r="J20" s="13"/>
      <c r="K20" s="51"/>
      <c r="M20" s="13"/>
    </row>
    <row r="21" spans="1:13" s="3" customFormat="1" ht="12.75">
      <c r="A21" s="184"/>
      <c r="B21" s="185"/>
      <c r="C21" s="186"/>
      <c r="D21" s="185"/>
      <c r="E21" s="186"/>
      <c r="F21" s="186"/>
      <c r="G21" s="186"/>
      <c r="H21" s="186"/>
      <c r="I21" s="187"/>
      <c r="J21" s="13"/>
      <c r="K21" s="51"/>
      <c r="M21" s="13"/>
    </row>
    <row r="22" spans="1:13" s="3" customFormat="1" ht="12.75">
      <c r="A22" s="188"/>
      <c r="B22" s="189"/>
      <c r="C22" s="190"/>
      <c r="D22" s="189"/>
      <c r="E22" s="190"/>
      <c r="F22" s="190"/>
      <c r="G22" s="190"/>
      <c r="H22" s="190"/>
      <c r="I22" s="191"/>
      <c r="J22" s="13"/>
      <c r="K22" s="51"/>
      <c r="M22" s="13"/>
    </row>
  </sheetData>
  <sheetProtection password="CAD5" sheet="1"/>
  <conditionalFormatting sqref="A12:I22 A1:I9">
    <cfRule type="expression" priority="1" dxfId="0" stopIfTrue="1">
      <formula>CELL("protect",A1)</formula>
    </cfRule>
  </conditionalFormatting>
  <conditionalFormatting sqref="A10:I11">
    <cfRule type="expression" priority="2" dxfId="0" stopIfTrue="1">
      <formula>CELL("protect",$A$1)</formula>
    </cfRule>
  </conditionalFormatting>
  <printOptions/>
  <pageMargins left="0.5" right="0.5" top="1.19" bottom="0.31" header="0.58" footer="0"/>
  <pageSetup blackAndWhite="1" fitToHeight="1" fitToWidth="1" horizontalDpi="600" verticalDpi="600" orientation="landscape"/>
  <headerFooter alignWithMargins="0">
    <oddHeader>&amp;C&amp;16Instructional Summary</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78"/>
  <sheetViews>
    <sheetView zoomScale="75" zoomScaleNormal="75" zoomScalePageLayoutView="0" workbookViewId="0" topLeftCell="A33">
      <selection activeCell="C30" sqref="C30"/>
    </sheetView>
  </sheetViews>
  <sheetFormatPr defaultColWidth="9.140625" defaultRowHeight="12.75"/>
  <cols>
    <col min="1" max="1" width="7.00390625" style="4" customWidth="1"/>
    <col min="2" max="2" width="68.8515625" style="4" customWidth="1"/>
    <col min="3" max="3" width="18.00390625" style="4" customWidth="1"/>
    <col min="4" max="4" width="16.00390625" style="4" customWidth="1"/>
    <col min="5" max="5" width="13.8515625" style="4" customWidth="1"/>
    <col min="6" max="6" width="15.28125" style="4" customWidth="1"/>
    <col min="7" max="8" width="14.28125" style="4" customWidth="1"/>
    <col min="9" max="9" width="13.8515625" style="4" customWidth="1"/>
    <col min="10" max="16384" width="11.421875" style="4" customWidth="1"/>
  </cols>
  <sheetData>
    <row r="1" spans="2:14" ht="12.75">
      <c r="B1" s="210" t="s">
        <v>374</v>
      </c>
      <c r="C1" s="93"/>
      <c r="D1" s="93"/>
      <c r="E1" s="93"/>
      <c r="F1" s="93"/>
      <c r="G1" s="93"/>
      <c r="H1" s="93"/>
      <c r="I1" s="93"/>
      <c r="J1" s="3"/>
      <c r="K1" s="3"/>
      <c r="L1" s="3"/>
      <c r="M1" s="3"/>
      <c r="N1" s="3"/>
    </row>
    <row r="2" spans="2:14" ht="12.75">
      <c r="B2" s="92"/>
      <c r="C2" s="93"/>
      <c r="D2" s="93"/>
      <c r="E2" s="93"/>
      <c r="F2" s="93"/>
      <c r="G2" s="93"/>
      <c r="H2" s="93"/>
      <c r="I2" s="93"/>
      <c r="J2" s="3"/>
      <c r="K2" s="3"/>
      <c r="L2" s="3"/>
      <c r="M2" s="3"/>
      <c r="N2" s="3"/>
    </row>
    <row r="3" spans="2:3" ht="12.75">
      <c r="B3" s="208" t="str">
        <f>Headers!A5</f>
        <v>Reconciliation from 2014-15 to 2015-16</v>
      </c>
      <c r="C3" s="209"/>
    </row>
    <row r="4" spans="2:14" ht="25.5">
      <c r="B4" s="43" t="s">
        <v>27</v>
      </c>
      <c r="C4" s="226" t="s">
        <v>429</v>
      </c>
      <c r="D4" s="227" t="s">
        <v>400</v>
      </c>
      <c r="E4" s="226" t="s">
        <v>401</v>
      </c>
      <c r="F4" s="227" t="s">
        <v>68</v>
      </c>
      <c r="G4" s="227" t="s">
        <v>69</v>
      </c>
      <c r="H4" s="227" t="s">
        <v>322</v>
      </c>
      <c r="I4" s="228" t="s">
        <v>1</v>
      </c>
      <c r="J4" s="3"/>
      <c r="K4" s="3"/>
      <c r="L4" s="3"/>
      <c r="M4" s="3"/>
      <c r="N4" s="3"/>
    </row>
    <row r="5" spans="1:14" s="52" customFormat="1" ht="12.75">
      <c r="A5" s="4"/>
      <c r="B5" s="211" t="s">
        <v>375</v>
      </c>
      <c r="C5" s="97"/>
      <c r="D5" s="97"/>
      <c r="E5" s="97"/>
      <c r="F5" s="97"/>
      <c r="G5" s="97"/>
      <c r="H5" s="97"/>
      <c r="I5" s="97"/>
      <c r="J5" s="51"/>
      <c r="K5" s="51"/>
      <c r="L5" s="51"/>
      <c r="M5" s="51"/>
      <c r="N5" s="51"/>
    </row>
    <row r="6" spans="1:14" s="52" customFormat="1" ht="12.75">
      <c r="A6" s="4">
        <f>A4+1</f>
        <v>1</v>
      </c>
      <c r="B6" s="216" t="s">
        <v>312</v>
      </c>
      <c r="C6" s="49">
        <v>-2</v>
      </c>
      <c r="D6" s="49">
        <v>0</v>
      </c>
      <c r="E6" s="49">
        <v>0</v>
      </c>
      <c r="F6" s="49">
        <v>0</v>
      </c>
      <c r="G6" s="49">
        <v>0</v>
      </c>
      <c r="H6" s="49">
        <v>0</v>
      </c>
      <c r="I6" s="50">
        <f>SUM(C6:H6)</f>
        <v>-2</v>
      </c>
      <c r="J6" s="51"/>
      <c r="K6" s="51"/>
      <c r="L6" s="51"/>
      <c r="M6" s="51"/>
      <c r="N6" s="51"/>
    </row>
    <row r="7" spans="1:14" s="52" customFormat="1" ht="12.75">
      <c r="A7" s="4">
        <v>2</v>
      </c>
      <c r="B7" s="216" t="s">
        <v>310</v>
      </c>
      <c r="C7" s="49">
        <v>0</v>
      </c>
      <c r="D7" s="49">
        <v>0</v>
      </c>
      <c r="E7" s="49">
        <v>0</v>
      </c>
      <c r="F7" s="49">
        <v>-0.3</v>
      </c>
      <c r="G7" s="49">
        <v>0</v>
      </c>
      <c r="H7" s="49">
        <v>0</v>
      </c>
      <c r="I7" s="50">
        <f>SUM(C7:H7)</f>
        <v>-0.3</v>
      </c>
      <c r="J7" s="51"/>
      <c r="K7" s="51"/>
      <c r="L7" s="51"/>
      <c r="M7" s="51"/>
      <c r="N7" s="51"/>
    </row>
    <row r="8" spans="1:14" s="52" customFormat="1" ht="12.75">
      <c r="A8" s="4">
        <v>3</v>
      </c>
      <c r="B8" s="217" t="s">
        <v>323</v>
      </c>
      <c r="C8" s="49">
        <v>-1.2</v>
      </c>
      <c r="D8" s="49">
        <v>0</v>
      </c>
      <c r="E8" s="49">
        <v>0</v>
      </c>
      <c r="F8" s="49">
        <v>-0.8</v>
      </c>
      <c r="G8" s="49">
        <v>0</v>
      </c>
      <c r="H8" s="49">
        <v>0</v>
      </c>
      <c r="I8" s="50">
        <f>SUM(C8:H8)</f>
        <v>-2</v>
      </c>
      <c r="J8" s="51"/>
      <c r="K8" s="51"/>
      <c r="L8" s="51"/>
      <c r="M8" s="51"/>
      <c r="N8" s="51"/>
    </row>
    <row r="9" spans="1:14" ht="12.75">
      <c r="A9" s="4">
        <v>4</v>
      </c>
      <c r="B9" s="216" t="s">
        <v>313</v>
      </c>
      <c r="C9" s="94">
        <f>-107379+1510</f>
        <v>-105869</v>
      </c>
      <c r="D9" s="94">
        <v>0</v>
      </c>
      <c r="E9" s="94">
        <v>0</v>
      </c>
      <c r="F9" s="94">
        <v>-55352</v>
      </c>
      <c r="G9" s="94">
        <v>0</v>
      </c>
      <c r="H9" s="94">
        <v>0</v>
      </c>
      <c r="I9" s="95">
        <f aca="true" t="shared" si="0" ref="I9:I29">SUM(C9:H9)</f>
        <v>-161221</v>
      </c>
      <c r="J9" s="3"/>
      <c r="K9" s="3"/>
      <c r="L9" s="3"/>
      <c r="M9" s="3"/>
      <c r="N9" s="3"/>
    </row>
    <row r="10" spans="1:14" s="52" customFormat="1" ht="12.75">
      <c r="A10" s="4"/>
      <c r="B10" s="212" t="s">
        <v>376</v>
      </c>
      <c r="C10" s="97"/>
      <c r="D10" s="97"/>
      <c r="E10" s="97"/>
      <c r="F10" s="97"/>
      <c r="G10" s="97"/>
      <c r="H10" s="97"/>
      <c r="I10" s="97"/>
      <c r="J10" s="51"/>
      <c r="K10" s="51"/>
      <c r="L10" s="51"/>
      <c r="M10" s="51"/>
      <c r="N10" s="51"/>
    </row>
    <row r="11" spans="1:14" s="52" customFormat="1" ht="12.75">
      <c r="A11" s="4">
        <f>A9+1</f>
        <v>5</v>
      </c>
      <c r="B11" s="213" t="s">
        <v>377</v>
      </c>
      <c r="C11" s="49">
        <v>0.8</v>
      </c>
      <c r="D11" s="49">
        <v>0</v>
      </c>
      <c r="E11" s="49">
        <v>0</v>
      </c>
      <c r="F11" s="49">
        <v>0</v>
      </c>
      <c r="G11" s="49">
        <v>0.5</v>
      </c>
      <c r="H11" s="49">
        <v>0</v>
      </c>
      <c r="I11" s="50">
        <f>SUM(C11:H11)</f>
        <v>1.3</v>
      </c>
      <c r="J11" s="51"/>
      <c r="K11" s="51"/>
      <c r="L11" s="51"/>
      <c r="M11" s="51"/>
      <c r="N11" s="51"/>
    </row>
    <row r="12" spans="1:14" ht="12.75">
      <c r="A12" s="4">
        <f>A11+1</f>
        <v>6</v>
      </c>
      <c r="B12" s="213" t="s">
        <v>378</v>
      </c>
      <c r="C12" s="94">
        <v>42000</v>
      </c>
      <c r="D12" s="94">
        <v>0</v>
      </c>
      <c r="E12" s="94">
        <v>0</v>
      </c>
      <c r="F12" s="94">
        <v>0</v>
      </c>
      <c r="G12" s="94">
        <v>29588.27</v>
      </c>
      <c r="H12" s="94">
        <v>0</v>
      </c>
      <c r="I12" s="95">
        <f>SUM(C12:H12)</f>
        <v>71588.27</v>
      </c>
      <c r="J12" s="3"/>
      <c r="K12" s="3"/>
      <c r="L12" s="3"/>
      <c r="M12" s="3"/>
      <c r="N12" s="3"/>
    </row>
    <row r="13" spans="1:15" ht="12.75">
      <c r="A13" s="4">
        <f aca="true" t="shared" si="1" ref="A13:A30">A12+1</f>
        <v>7</v>
      </c>
      <c r="B13" s="45" t="s">
        <v>59</v>
      </c>
      <c r="C13" s="94">
        <v>-27897.5</v>
      </c>
      <c r="D13" s="94">
        <v>0</v>
      </c>
      <c r="E13" s="94">
        <v>0</v>
      </c>
      <c r="F13" s="94">
        <v>-14525</v>
      </c>
      <c r="G13" s="94">
        <v>10219.79</v>
      </c>
      <c r="H13" s="94">
        <v>0</v>
      </c>
      <c r="I13" s="95">
        <f t="shared" si="0"/>
        <v>-32202.71</v>
      </c>
      <c r="J13" s="46"/>
      <c r="K13" s="46"/>
      <c r="L13" s="46"/>
      <c r="M13" s="46"/>
      <c r="N13" s="46"/>
      <c r="O13" s="47"/>
    </row>
    <row r="14" spans="1:15" ht="12.75">
      <c r="A14" s="4">
        <f t="shared" si="1"/>
        <v>8</v>
      </c>
      <c r="B14" s="45" t="s">
        <v>60</v>
      </c>
      <c r="C14" s="94">
        <v>-30471</v>
      </c>
      <c r="D14" s="94">
        <v>0</v>
      </c>
      <c r="E14" s="94">
        <v>0</v>
      </c>
      <c r="F14" s="94">
        <v>-25000</v>
      </c>
      <c r="G14" s="94">
        <v>9835.42</v>
      </c>
      <c r="H14" s="94">
        <v>0</v>
      </c>
      <c r="I14" s="95">
        <f t="shared" si="0"/>
        <v>-45635.58</v>
      </c>
      <c r="J14" s="46"/>
      <c r="K14" s="46"/>
      <c r="L14" s="46"/>
      <c r="M14" s="46"/>
      <c r="N14" s="46"/>
      <c r="O14" s="47"/>
    </row>
    <row r="15" spans="1:15" ht="12.75">
      <c r="A15" s="4">
        <f t="shared" si="1"/>
        <v>9</v>
      </c>
      <c r="B15" s="45" t="s">
        <v>70</v>
      </c>
      <c r="C15" s="94">
        <v>0</v>
      </c>
      <c r="D15" s="94">
        <v>0</v>
      </c>
      <c r="E15" s="94">
        <v>0</v>
      </c>
      <c r="F15" s="94">
        <v>0</v>
      </c>
      <c r="G15" s="94">
        <v>0</v>
      </c>
      <c r="H15" s="94">
        <v>0</v>
      </c>
      <c r="I15" s="95">
        <f t="shared" si="0"/>
        <v>0</v>
      </c>
      <c r="J15" s="46"/>
      <c r="K15" s="46"/>
      <c r="L15" s="46"/>
      <c r="M15" s="46"/>
      <c r="N15" s="46"/>
      <c r="O15" s="47"/>
    </row>
    <row r="16" spans="1:15" ht="12.75">
      <c r="A16" s="4">
        <f t="shared" si="1"/>
        <v>10</v>
      </c>
      <c r="B16" s="45" t="s">
        <v>55</v>
      </c>
      <c r="C16" s="94">
        <v>0</v>
      </c>
      <c r="D16" s="94">
        <v>0</v>
      </c>
      <c r="E16" s="94">
        <v>0</v>
      </c>
      <c r="F16" s="94">
        <v>0</v>
      </c>
      <c r="G16" s="94">
        <v>0</v>
      </c>
      <c r="H16" s="94">
        <v>0</v>
      </c>
      <c r="I16" s="95">
        <f t="shared" si="0"/>
        <v>0</v>
      </c>
      <c r="J16" s="46"/>
      <c r="K16" s="46"/>
      <c r="L16" s="46"/>
      <c r="M16" s="46"/>
      <c r="N16" s="46"/>
      <c r="O16" s="47"/>
    </row>
    <row r="17" spans="1:15" ht="12.75">
      <c r="A17" s="4">
        <f t="shared" si="1"/>
        <v>11</v>
      </c>
      <c r="B17" s="45" t="s">
        <v>358</v>
      </c>
      <c r="C17" s="94">
        <v>0</v>
      </c>
      <c r="D17" s="94">
        <v>0</v>
      </c>
      <c r="E17" s="94">
        <v>0</v>
      </c>
      <c r="F17" s="94">
        <v>0</v>
      </c>
      <c r="G17" s="94">
        <v>0</v>
      </c>
      <c r="H17" s="94">
        <v>0</v>
      </c>
      <c r="I17" s="95">
        <f>SUM(C17:H17)</f>
        <v>0</v>
      </c>
      <c r="J17" s="46"/>
      <c r="K17" s="46"/>
      <c r="L17" s="46"/>
      <c r="M17" s="46"/>
      <c r="N17" s="46"/>
      <c r="O17" s="47"/>
    </row>
    <row r="18" spans="1:15" ht="12.75">
      <c r="A18" s="4">
        <f t="shared" si="1"/>
        <v>12</v>
      </c>
      <c r="B18" s="45" t="s">
        <v>72</v>
      </c>
      <c r="C18" s="94">
        <v>0</v>
      </c>
      <c r="D18" s="94">
        <v>0</v>
      </c>
      <c r="E18" s="94">
        <v>0</v>
      </c>
      <c r="F18" s="94">
        <v>0</v>
      </c>
      <c r="G18" s="94">
        <v>0</v>
      </c>
      <c r="H18" s="94">
        <v>0</v>
      </c>
      <c r="I18" s="95">
        <f t="shared" si="0"/>
        <v>0</v>
      </c>
      <c r="J18" s="46"/>
      <c r="K18" s="46"/>
      <c r="L18" s="46"/>
      <c r="M18" s="46"/>
      <c r="N18" s="46"/>
      <c r="O18" s="47"/>
    </row>
    <row r="19" spans="1:14" ht="12.75">
      <c r="A19" s="4">
        <f t="shared" si="1"/>
        <v>13</v>
      </c>
      <c r="B19" s="44" t="s">
        <v>28</v>
      </c>
      <c r="C19" s="94">
        <v>0</v>
      </c>
      <c r="D19" s="94">
        <v>0</v>
      </c>
      <c r="E19" s="94">
        <v>0</v>
      </c>
      <c r="F19" s="94">
        <v>0</v>
      </c>
      <c r="G19" s="94">
        <v>0</v>
      </c>
      <c r="H19" s="94">
        <v>0</v>
      </c>
      <c r="I19" s="95">
        <f t="shared" si="0"/>
        <v>0</v>
      </c>
      <c r="J19" s="3"/>
      <c r="K19" s="3"/>
      <c r="L19" s="3"/>
      <c r="M19" s="3"/>
      <c r="N19" s="3"/>
    </row>
    <row r="20" spans="1:14" ht="12.75">
      <c r="A20" s="4">
        <f t="shared" si="1"/>
        <v>14</v>
      </c>
      <c r="B20" s="44" t="s">
        <v>71</v>
      </c>
      <c r="C20" s="94">
        <v>44353</v>
      </c>
      <c r="D20" s="94">
        <v>0</v>
      </c>
      <c r="E20" s="94">
        <v>0</v>
      </c>
      <c r="F20" s="94">
        <v>0</v>
      </c>
      <c r="G20" s="94">
        <v>0</v>
      </c>
      <c r="H20" s="94">
        <v>0</v>
      </c>
      <c r="I20" s="95">
        <f t="shared" si="0"/>
        <v>44353</v>
      </c>
      <c r="J20" s="3"/>
      <c r="K20" s="3"/>
      <c r="L20" s="3"/>
      <c r="M20" s="3"/>
      <c r="N20" s="3"/>
    </row>
    <row r="21" spans="1:14" ht="12.75">
      <c r="A21" s="4">
        <f t="shared" si="1"/>
        <v>15</v>
      </c>
      <c r="B21" s="44" t="s">
        <v>302</v>
      </c>
      <c r="C21" s="94">
        <v>0</v>
      </c>
      <c r="D21" s="94">
        <v>0</v>
      </c>
      <c r="E21" s="94">
        <v>0</v>
      </c>
      <c r="F21" s="94">
        <v>0</v>
      </c>
      <c r="G21" s="94">
        <v>0</v>
      </c>
      <c r="H21" s="94">
        <v>0</v>
      </c>
      <c r="I21" s="95">
        <f t="shared" si="0"/>
        <v>0</v>
      </c>
      <c r="J21" s="3"/>
      <c r="K21" s="3"/>
      <c r="L21" s="3"/>
      <c r="M21" s="3"/>
      <c r="N21" s="3"/>
    </row>
    <row r="22" spans="1:14" ht="12.75">
      <c r="A22" s="4">
        <f t="shared" si="1"/>
        <v>16</v>
      </c>
      <c r="B22" s="44" t="s">
        <v>66</v>
      </c>
      <c r="C22" s="94">
        <v>0</v>
      </c>
      <c r="D22" s="94">
        <v>0</v>
      </c>
      <c r="E22" s="94">
        <v>678</v>
      </c>
      <c r="F22" s="94">
        <v>0</v>
      </c>
      <c r="G22" s="94">
        <v>0</v>
      </c>
      <c r="H22" s="94">
        <v>0</v>
      </c>
      <c r="I22" s="95">
        <f t="shared" si="0"/>
        <v>678</v>
      </c>
      <c r="J22" s="3"/>
      <c r="K22" s="3"/>
      <c r="L22" s="3"/>
      <c r="M22" s="3"/>
      <c r="N22" s="3"/>
    </row>
    <row r="23" spans="1:14" ht="12.75">
      <c r="A23" s="4">
        <f t="shared" si="1"/>
        <v>17</v>
      </c>
      <c r="B23" s="44" t="s">
        <v>67</v>
      </c>
      <c r="C23" s="94">
        <v>0</v>
      </c>
      <c r="D23" s="94">
        <v>0</v>
      </c>
      <c r="E23" s="94">
        <v>0</v>
      </c>
      <c r="F23" s="94">
        <v>0</v>
      </c>
      <c r="G23" s="94">
        <v>1402</v>
      </c>
      <c r="H23" s="94">
        <v>0</v>
      </c>
      <c r="I23" s="95">
        <f t="shared" si="0"/>
        <v>1402</v>
      </c>
      <c r="J23" s="3"/>
      <c r="K23" s="3"/>
      <c r="L23" s="3"/>
      <c r="M23" s="3"/>
      <c r="N23" s="3"/>
    </row>
    <row r="24" spans="1:14" ht="12.75">
      <c r="A24" s="4">
        <f t="shared" si="1"/>
        <v>18</v>
      </c>
      <c r="B24" s="44" t="s">
        <v>29</v>
      </c>
      <c r="C24" s="94">
        <v>0</v>
      </c>
      <c r="D24" s="94">
        <v>0</v>
      </c>
      <c r="E24" s="94">
        <v>0</v>
      </c>
      <c r="F24" s="94">
        <v>0</v>
      </c>
      <c r="G24" s="94">
        <v>0</v>
      </c>
      <c r="H24" s="94">
        <v>0</v>
      </c>
      <c r="I24" s="95">
        <f t="shared" si="0"/>
        <v>0</v>
      </c>
      <c r="J24" s="3"/>
      <c r="K24" s="3"/>
      <c r="L24" s="3"/>
      <c r="M24" s="3"/>
      <c r="N24" s="3"/>
    </row>
    <row r="25" spans="1:14" ht="12.75">
      <c r="A25" s="4">
        <f t="shared" si="1"/>
        <v>19</v>
      </c>
      <c r="B25" s="22" t="s">
        <v>301</v>
      </c>
      <c r="C25" s="94">
        <v>-20000</v>
      </c>
      <c r="D25" s="94">
        <v>0</v>
      </c>
      <c r="E25" s="94">
        <v>0</v>
      </c>
      <c r="F25" s="94">
        <v>0</v>
      </c>
      <c r="G25" s="94">
        <v>0</v>
      </c>
      <c r="H25" s="94">
        <v>0</v>
      </c>
      <c r="I25" s="95">
        <f t="shared" si="0"/>
        <v>-20000</v>
      </c>
      <c r="J25" s="3"/>
      <c r="K25" s="3"/>
      <c r="L25" s="3"/>
      <c r="M25" s="3"/>
      <c r="N25" s="3"/>
    </row>
    <row r="26" spans="1:14" ht="12.75">
      <c r="A26" s="4">
        <f t="shared" si="1"/>
        <v>20</v>
      </c>
      <c r="B26" s="22" t="s">
        <v>300</v>
      </c>
      <c r="C26" s="94">
        <v>-6017</v>
      </c>
      <c r="D26" s="94">
        <v>0</v>
      </c>
      <c r="E26" s="94">
        <v>0</v>
      </c>
      <c r="F26" s="94">
        <v>-4480</v>
      </c>
      <c r="G26" s="94">
        <v>2263.5</v>
      </c>
      <c r="H26" s="94">
        <v>0</v>
      </c>
      <c r="I26" s="95">
        <f t="shared" si="0"/>
        <v>-8233.5</v>
      </c>
      <c r="J26" s="3"/>
      <c r="K26" s="3"/>
      <c r="L26" s="3"/>
      <c r="M26" s="3"/>
      <c r="N26" s="3"/>
    </row>
    <row r="27" spans="1:14" ht="12.75">
      <c r="A27" s="4">
        <f t="shared" si="1"/>
        <v>21</v>
      </c>
      <c r="B27" s="197" t="s">
        <v>485</v>
      </c>
      <c r="C27" s="94">
        <v>37500</v>
      </c>
      <c r="D27" s="94">
        <v>0</v>
      </c>
      <c r="E27" s="94">
        <v>0</v>
      </c>
      <c r="F27" s="94">
        <v>0</v>
      </c>
      <c r="G27" s="94">
        <v>0</v>
      </c>
      <c r="H27" s="94">
        <v>0</v>
      </c>
      <c r="I27" s="95">
        <f>SUM(C27:H27)</f>
        <v>37500</v>
      </c>
      <c r="J27" s="3"/>
      <c r="K27" s="3"/>
      <c r="L27" s="3"/>
      <c r="M27" s="3"/>
      <c r="N27" s="3"/>
    </row>
    <row r="28" spans="1:14" ht="12.75">
      <c r="A28" s="4">
        <f t="shared" si="1"/>
        <v>22</v>
      </c>
      <c r="B28" s="197" t="s">
        <v>40</v>
      </c>
      <c r="C28" s="94">
        <v>0</v>
      </c>
      <c r="D28" s="94">
        <v>0</v>
      </c>
      <c r="E28" s="94">
        <v>0</v>
      </c>
      <c r="F28" s="94">
        <v>0</v>
      </c>
      <c r="G28" s="94">
        <v>0</v>
      </c>
      <c r="H28" s="94">
        <v>0</v>
      </c>
      <c r="I28" s="95">
        <f>SUM(C28:H28)</f>
        <v>0</v>
      </c>
      <c r="J28" s="3"/>
      <c r="K28" s="3"/>
      <c r="L28" s="3"/>
      <c r="M28" s="3"/>
      <c r="N28" s="3"/>
    </row>
    <row r="29" spans="1:14" ht="12.75">
      <c r="A29" s="4">
        <f t="shared" si="1"/>
        <v>23</v>
      </c>
      <c r="B29" s="197" t="s">
        <v>40</v>
      </c>
      <c r="C29" s="94">
        <v>0</v>
      </c>
      <c r="D29" s="94">
        <v>0</v>
      </c>
      <c r="E29" s="94">
        <v>0</v>
      </c>
      <c r="F29" s="94">
        <v>0</v>
      </c>
      <c r="G29" s="94">
        <v>0</v>
      </c>
      <c r="H29" s="94">
        <v>0</v>
      </c>
      <c r="I29" s="95">
        <f t="shared" si="0"/>
        <v>0</v>
      </c>
      <c r="J29" s="3"/>
      <c r="K29" s="3"/>
      <c r="L29" s="3"/>
      <c r="M29" s="3"/>
      <c r="N29" s="3"/>
    </row>
    <row r="30" spans="1:14" ht="12.75">
      <c r="A30" s="4">
        <f t="shared" si="1"/>
        <v>24</v>
      </c>
      <c r="B30" s="18" t="s">
        <v>1</v>
      </c>
      <c r="C30" s="96">
        <f aca="true" t="shared" si="2" ref="C30:I30">SUM(C9,C12:C29)</f>
        <v>-66401.5</v>
      </c>
      <c r="D30" s="96">
        <f t="shared" si="2"/>
        <v>0</v>
      </c>
      <c r="E30" s="96">
        <f t="shared" si="2"/>
        <v>678</v>
      </c>
      <c r="F30" s="96">
        <f t="shared" si="2"/>
        <v>-99357</v>
      </c>
      <c r="G30" s="96">
        <f>SUM(G9,G12:G29)</f>
        <v>53308.979999999996</v>
      </c>
      <c r="H30" s="96">
        <f t="shared" si="2"/>
        <v>0</v>
      </c>
      <c r="I30" s="96">
        <f t="shared" si="2"/>
        <v>-111771.52000000002</v>
      </c>
      <c r="J30" s="3"/>
      <c r="K30" s="3"/>
      <c r="L30" s="3"/>
      <c r="M30" s="3"/>
      <c r="N30" s="3"/>
    </row>
    <row r="31" spans="2:9" ht="12.75">
      <c r="B31" s="222" t="s">
        <v>398</v>
      </c>
      <c r="C31" s="223">
        <f>Instruction!$E$3</f>
        <v>-66401.12999999989</v>
      </c>
      <c r="D31" s="223">
        <f>Instruction!$E$4</f>
        <v>0</v>
      </c>
      <c r="E31" s="223">
        <f>Instruction!$E$5</f>
        <v>677.75</v>
      </c>
      <c r="F31" s="223">
        <f>Instruction!$E$6</f>
        <v>-99356.77000000002</v>
      </c>
      <c r="G31" s="223">
        <f>Instruction!$E$7</f>
        <v>53308.48000000004</v>
      </c>
      <c r="H31" s="223">
        <f>Instruction!$E$8</f>
        <v>0</v>
      </c>
      <c r="I31" s="223">
        <f>Instruction!$E$9</f>
        <v>-111771.66999999987</v>
      </c>
    </row>
    <row r="32" spans="2:9" ht="12.75">
      <c r="B32" s="224" t="s">
        <v>399</v>
      </c>
      <c r="C32" s="225">
        <f>C30-C31</f>
        <v>-0.3700000001117587</v>
      </c>
      <c r="D32" s="225">
        <f aca="true" t="shared" si="3" ref="D32:I32">D30-D31</f>
        <v>0</v>
      </c>
      <c r="E32" s="225">
        <f t="shared" si="3"/>
        <v>0.25</v>
      </c>
      <c r="F32" s="225">
        <f t="shared" si="3"/>
        <v>-0.22999999998137355</v>
      </c>
      <c r="G32" s="225">
        <f t="shared" si="3"/>
        <v>0.49999999995634425</v>
      </c>
      <c r="H32" s="225">
        <f t="shared" si="3"/>
        <v>0</v>
      </c>
      <c r="I32" s="225">
        <f t="shared" si="3"/>
        <v>0.14999999984866008</v>
      </c>
    </row>
    <row r="33" spans="2:9" ht="12.75">
      <c r="B33" s="179" t="s">
        <v>357</v>
      </c>
      <c r="C33" s="3"/>
      <c r="D33" s="178"/>
      <c r="E33" s="3"/>
      <c r="F33" s="178"/>
      <c r="G33" s="3"/>
      <c r="H33" s="3"/>
      <c r="I33" s="28"/>
    </row>
    <row r="34" spans="2:9" ht="12.75">
      <c r="B34" s="180"/>
      <c r="C34" s="181"/>
      <c r="D34" s="182"/>
      <c r="E34" s="181"/>
      <c r="F34" s="182"/>
      <c r="G34" s="181"/>
      <c r="H34" s="181"/>
      <c r="I34" s="183"/>
    </row>
    <row r="35" spans="2:9" ht="12.75">
      <c r="B35" s="184"/>
      <c r="C35" s="185"/>
      <c r="D35" s="186"/>
      <c r="E35" s="185"/>
      <c r="F35" s="186"/>
      <c r="G35" s="185"/>
      <c r="H35" s="185"/>
      <c r="I35" s="187"/>
    </row>
    <row r="36" spans="2:9" ht="12.75">
      <c r="B36" s="184"/>
      <c r="C36" s="185"/>
      <c r="D36" s="186"/>
      <c r="E36" s="185"/>
      <c r="F36" s="186"/>
      <c r="G36" s="185"/>
      <c r="H36" s="185"/>
      <c r="I36" s="187"/>
    </row>
    <row r="37" spans="2:9" ht="12.75">
      <c r="B37" s="184"/>
      <c r="C37" s="185"/>
      <c r="D37" s="186"/>
      <c r="E37" s="185"/>
      <c r="F37" s="186"/>
      <c r="G37" s="185"/>
      <c r="H37" s="185"/>
      <c r="I37" s="187"/>
    </row>
    <row r="38" spans="2:9" ht="12.75">
      <c r="B38" s="188"/>
      <c r="C38" s="189"/>
      <c r="D38" s="190"/>
      <c r="E38" s="189"/>
      <c r="F38" s="190"/>
      <c r="G38" s="189"/>
      <c r="H38" s="189"/>
      <c r="I38" s="191"/>
    </row>
    <row r="40" ht="12.75">
      <c r="B40" s="27" t="s">
        <v>330</v>
      </c>
    </row>
    <row r="42" spans="2:3" ht="12.75">
      <c r="B42" s="208" t="str">
        <f>Headers!A6</f>
        <v>Reconciliation from 2015-16 to 2016-17</v>
      </c>
      <c r="C42" s="209"/>
    </row>
    <row r="43" spans="2:14" ht="25.5">
      <c r="B43" s="43" t="s">
        <v>27</v>
      </c>
      <c r="C43" s="226" t="s">
        <v>429</v>
      </c>
      <c r="D43" s="227" t="s">
        <v>400</v>
      </c>
      <c r="E43" s="226" t="s">
        <v>401</v>
      </c>
      <c r="F43" s="227" t="s">
        <v>68</v>
      </c>
      <c r="G43" s="227" t="s">
        <v>69</v>
      </c>
      <c r="H43" s="227" t="s">
        <v>322</v>
      </c>
      <c r="I43" s="228" t="s">
        <v>1</v>
      </c>
      <c r="J43" s="3"/>
      <c r="K43" s="3"/>
      <c r="L43" s="3"/>
      <c r="M43" s="3"/>
      <c r="N43" s="3"/>
    </row>
    <row r="44" spans="1:14" s="52" customFormat="1" ht="12.75">
      <c r="A44" s="4"/>
      <c r="B44" s="211" t="s">
        <v>375</v>
      </c>
      <c r="C44" s="97"/>
      <c r="D44" s="97"/>
      <c r="E44" s="97"/>
      <c r="F44" s="97"/>
      <c r="G44" s="97"/>
      <c r="H44" s="97"/>
      <c r="I44" s="97"/>
      <c r="J44" s="51"/>
      <c r="K44" s="51"/>
      <c r="L44" s="51"/>
      <c r="M44" s="51"/>
      <c r="N44" s="51"/>
    </row>
    <row r="45" spans="1:14" ht="12.75">
      <c r="A45" s="4">
        <v>1</v>
      </c>
      <c r="B45" s="216" t="s">
        <v>311</v>
      </c>
      <c r="C45" s="49">
        <v>0</v>
      </c>
      <c r="D45" s="49">
        <v>0</v>
      </c>
      <c r="E45" s="49">
        <v>0</v>
      </c>
      <c r="F45" s="49">
        <v>0</v>
      </c>
      <c r="G45" s="49">
        <v>0</v>
      </c>
      <c r="H45" s="49">
        <v>0</v>
      </c>
      <c r="I45" s="50">
        <f>SUM(C45:H45)</f>
        <v>0</v>
      </c>
      <c r="J45" s="3"/>
      <c r="K45" s="3"/>
      <c r="L45" s="3"/>
      <c r="M45" s="3"/>
      <c r="N45" s="3"/>
    </row>
    <row r="46" spans="1:14" ht="12.75">
      <c r="A46" s="4">
        <v>2</v>
      </c>
      <c r="B46" s="216" t="s">
        <v>310</v>
      </c>
      <c r="C46" s="49">
        <v>0</v>
      </c>
      <c r="D46" s="49">
        <v>0</v>
      </c>
      <c r="E46" s="49">
        <v>0</v>
      </c>
      <c r="F46" s="49">
        <v>0</v>
      </c>
      <c r="G46" s="49">
        <v>0</v>
      </c>
      <c r="H46" s="49">
        <v>0</v>
      </c>
      <c r="I46" s="50">
        <f>SUM(C46:H46)</f>
        <v>0</v>
      </c>
      <c r="J46" s="3"/>
      <c r="K46" s="3"/>
      <c r="L46" s="3"/>
      <c r="M46" s="3"/>
      <c r="N46" s="3"/>
    </row>
    <row r="47" spans="1:14" ht="12.75">
      <c r="A47" s="4">
        <v>3</v>
      </c>
      <c r="B47" s="216" t="s">
        <v>323</v>
      </c>
      <c r="C47" s="49">
        <v>0</v>
      </c>
      <c r="D47" s="49">
        <v>0</v>
      </c>
      <c r="E47" s="49">
        <v>0</v>
      </c>
      <c r="F47" s="49">
        <v>0</v>
      </c>
      <c r="G47" s="49">
        <v>0</v>
      </c>
      <c r="H47" s="49">
        <v>0</v>
      </c>
      <c r="I47" s="50">
        <f>SUM(C47:H47)</f>
        <v>0</v>
      </c>
      <c r="J47" s="3"/>
      <c r="K47" s="3"/>
      <c r="L47" s="3"/>
      <c r="M47" s="3"/>
      <c r="N47" s="3"/>
    </row>
    <row r="48" spans="1:14" ht="12.75">
      <c r="A48" s="4">
        <f>A47+1</f>
        <v>4</v>
      </c>
      <c r="B48" s="216" t="s">
        <v>313</v>
      </c>
      <c r="C48" s="94">
        <v>0</v>
      </c>
      <c r="D48" s="94">
        <v>0</v>
      </c>
      <c r="E48" s="94">
        <v>0</v>
      </c>
      <c r="F48" s="94">
        <v>0</v>
      </c>
      <c r="G48" s="94">
        <v>0</v>
      </c>
      <c r="H48" s="94">
        <v>0</v>
      </c>
      <c r="I48" s="95">
        <f aca="true" t="shared" si="4" ref="I48:I68">SUM(C48:H48)</f>
        <v>0</v>
      </c>
      <c r="J48" s="3"/>
      <c r="K48" s="3"/>
      <c r="L48" s="3"/>
      <c r="M48" s="3"/>
      <c r="N48" s="3"/>
    </row>
    <row r="49" spans="1:14" s="52" customFormat="1" ht="12.75">
      <c r="A49" s="4"/>
      <c r="B49" s="212" t="s">
        <v>376</v>
      </c>
      <c r="C49" s="97"/>
      <c r="D49" s="97"/>
      <c r="E49" s="97"/>
      <c r="F49" s="97"/>
      <c r="G49" s="97"/>
      <c r="H49" s="97"/>
      <c r="I49" s="97"/>
      <c r="J49" s="51"/>
      <c r="K49" s="51"/>
      <c r="L49" s="51"/>
      <c r="M49" s="51"/>
      <c r="N49" s="51"/>
    </row>
    <row r="50" spans="1:14" s="52" customFormat="1" ht="12.75">
      <c r="A50" s="4">
        <f>A48+1</f>
        <v>5</v>
      </c>
      <c r="B50" s="213" t="s">
        <v>377</v>
      </c>
      <c r="C50" s="49">
        <v>0</v>
      </c>
      <c r="D50" s="49">
        <v>0</v>
      </c>
      <c r="E50" s="49">
        <v>0</v>
      </c>
      <c r="F50" s="49">
        <v>0</v>
      </c>
      <c r="G50" s="49">
        <v>0</v>
      </c>
      <c r="H50" s="49">
        <v>0</v>
      </c>
      <c r="I50" s="50">
        <f>SUM(C50:H50)</f>
        <v>0</v>
      </c>
      <c r="J50" s="51"/>
      <c r="K50" s="51"/>
      <c r="L50" s="51"/>
      <c r="M50" s="51"/>
      <c r="N50" s="51"/>
    </row>
    <row r="51" spans="1:14" ht="12.75">
      <c r="A51" s="4">
        <f>A50+1</f>
        <v>6</v>
      </c>
      <c r="B51" s="213" t="s">
        <v>378</v>
      </c>
      <c r="C51" s="94">
        <v>0</v>
      </c>
      <c r="D51" s="94">
        <v>0</v>
      </c>
      <c r="E51" s="94">
        <v>0</v>
      </c>
      <c r="F51" s="94">
        <v>0</v>
      </c>
      <c r="G51" s="94">
        <v>0</v>
      </c>
      <c r="H51" s="94">
        <v>0</v>
      </c>
      <c r="I51" s="95">
        <f>SUM(C51:H51)</f>
        <v>0</v>
      </c>
      <c r="J51" s="3"/>
      <c r="K51" s="3"/>
      <c r="L51" s="3"/>
      <c r="M51" s="3"/>
      <c r="N51" s="3"/>
    </row>
    <row r="52" spans="1:15" ht="12.75">
      <c r="A52" s="4">
        <f aca="true" t="shared" si="5" ref="A52:A69">A51+1</f>
        <v>7</v>
      </c>
      <c r="B52" s="45" t="s">
        <v>59</v>
      </c>
      <c r="C52" s="94">
        <v>0</v>
      </c>
      <c r="D52" s="94">
        <v>0</v>
      </c>
      <c r="E52" s="94">
        <v>0</v>
      </c>
      <c r="F52" s="94">
        <v>0</v>
      </c>
      <c r="G52" s="94">
        <v>0</v>
      </c>
      <c r="H52" s="94">
        <v>0</v>
      </c>
      <c r="I52" s="95">
        <f t="shared" si="4"/>
        <v>0</v>
      </c>
      <c r="J52" s="46"/>
      <c r="K52" s="46"/>
      <c r="L52" s="46"/>
      <c r="M52" s="46"/>
      <c r="N52" s="46"/>
      <c r="O52" s="47"/>
    </row>
    <row r="53" spans="1:15" ht="12.75">
      <c r="A53" s="4">
        <f t="shared" si="5"/>
        <v>8</v>
      </c>
      <c r="B53" s="45" t="s">
        <v>60</v>
      </c>
      <c r="C53" s="94">
        <v>0</v>
      </c>
      <c r="D53" s="94">
        <v>0</v>
      </c>
      <c r="E53" s="94">
        <v>0</v>
      </c>
      <c r="F53" s="94">
        <v>0</v>
      </c>
      <c r="G53" s="94">
        <v>0</v>
      </c>
      <c r="H53" s="94">
        <v>0</v>
      </c>
      <c r="I53" s="95">
        <f t="shared" si="4"/>
        <v>0</v>
      </c>
      <c r="J53" s="46"/>
      <c r="K53" s="46"/>
      <c r="L53" s="46"/>
      <c r="M53" s="46"/>
      <c r="N53" s="46"/>
      <c r="O53" s="47"/>
    </row>
    <row r="54" spans="1:15" ht="12.75">
      <c r="A54" s="4">
        <f t="shared" si="5"/>
        <v>9</v>
      </c>
      <c r="B54" s="45" t="s">
        <v>70</v>
      </c>
      <c r="C54" s="94">
        <v>0</v>
      </c>
      <c r="D54" s="94">
        <v>0</v>
      </c>
      <c r="E54" s="94">
        <v>0</v>
      </c>
      <c r="F54" s="94">
        <v>0</v>
      </c>
      <c r="G54" s="94">
        <v>0</v>
      </c>
      <c r="H54" s="94">
        <v>0</v>
      </c>
      <c r="I54" s="95">
        <f t="shared" si="4"/>
        <v>0</v>
      </c>
      <c r="J54" s="46"/>
      <c r="K54" s="46"/>
      <c r="L54" s="46"/>
      <c r="M54" s="46"/>
      <c r="N54" s="46"/>
      <c r="O54" s="47"/>
    </row>
    <row r="55" spans="1:15" ht="12.75">
      <c r="A55" s="4">
        <f t="shared" si="5"/>
        <v>10</v>
      </c>
      <c r="B55" s="45" t="s">
        <v>55</v>
      </c>
      <c r="C55" s="94">
        <v>0</v>
      </c>
      <c r="D55" s="94">
        <v>0</v>
      </c>
      <c r="E55" s="94">
        <v>0</v>
      </c>
      <c r="F55" s="94">
        <v>0</v>
      </c>
      <c r="G55" s="94">
        <v>0</v>
      </c>
      <c r="H55" s="94">
        <v>0</v>
      </c>
      <c r="I55" s="95">
        <f t="shared" si="4"/>
        <v>0</v>
      </c>
      <c r="J55" s="46"/>
      <c r="K55" s="46"/>
      <c r="L55" s="46"/>
      <c r="M55" s="46"/>
      <c r="N55" s="46"/>
      <c r="O55" s="47"/>
    </row>
    <row r="56" spans="1:15" ht="12.75">
      <c r="A56" s="4">
        <f t="shared" si="5"/>
        <v>11</v>
      </c>
      <c r="B56" s="45" t="s">
        <v>358</v>
      </c>
      <c r="C56" s="94">
        <v>0</v>
      </c>
      <c r="D56" s="94">
        <v>0</v>
      </c>
      <c r="E56" s="94">
        <v>0</v>
      </c>
      <c r="F56" s="94">
        <v>0</v>
      </c>
      <c r="G56" s="94">
        <v>0</v>
      </c>
      <c r="H56" s="94">
        <v>0</v>
      </c>
      <c r="I56" s="95">
        <f t="shared" si="4"/>
        <v>0</v>
      </c>
      <c r="J56" s="46"/>
      <c r="K56" s="46"/>
      <c r="L56" s="46"/>
      <c r="M56" s="46"/>
      <c r="N56" s="46"/>
      <c r="O56" s="47"/>
    </row>
    <row r="57" spans="1:15" ht="12.75">
      <c r="A57" s="4">
        <f t="shared" si="5"/>
        <v>12</v>
      </c>
      <c r="B57" s="45" t="s">
        <v>72</v>
      </c>
      <c r="C57" s="94">
        <v>0</v>
      </c>
      <c r="D57" s="94">
        <v>0</v>
      </c>
      <c r="E57" s="94">
        <v>0</v>
      </c>
      <c r="F57" s="94">
        <v>0</v>
      </c>
      <c r="G57" s="94">
        <v>0</v>
      </c>
      <c r="H57" s="94">
        <v>0</v>
      </c>
      <c r="I57" s="95">
        <f t="shared" si="4"/>
        <v>0</v>
      </c>
      <c r="J57" s="46"/>
      <c r="K57" s="46"/>
      <c r="L57" s="46"/>
      <c r="M57" s="46"/>
      <c r="N57" s="46"/>
      <c r="O57" s="47"/>
    </row>
    <row r="58" spans="1:14" ht="12.75">
      <c r="A58" s="4">
        <f t="shared" si="5"/>
        <v>13</v>
      </c>
      <c r="B58" s="44" t="s">
        <v>28</v>
      </c>
      <c r="C58" s="94">
        <v>0</v>
      </c>
      <c r="D58" s="94">
        <v>0</v>
      </c>
      <c r="E58" s="94">
        <v>0</v>
      </c>
      <c r="F58" s="94">
        <v>0</v>
      </c>
      <c r="G58" s="94">
        <v>0</v>
      </c>
      <c r="H58" s="94">
        <v>0</v>
      </c>
      <c r="I58" s="95">
        <f t="shared" si="4"/>
        <v>0</v>
      </c>
      <c r="J58" s="3"/>
      <c r="K58" s="3"/>
      <c r="L58" s="3"/>
      <c r="M58" s="3"/>
      <c r="N58" s="3"/>
    </row>
    <row r="59" spans="1:14" ht="12.75">
      <c r="A59" s="4">
        <f t="shared" si="5"/>
        <v>14</v>
      </c>
      <c r="B59" s="44" t="s">
        <v>304</v>
      </c>
      <c r="C59" s="94">
        <v>0</v>
      </c>
      <c r="D59" s="94">
        <v>0</v>
      </c>
      <c r="E59" s="94">
        <v>0</v>
      </c>
      <c r="F59" s="94">
        <v>0</v>
      </c>
      <c r="G59" s="94">
        <v>0</v>
      </c>
      <c r="H59" s="94">
        <v>0</v>
      </c>
      <c r="I59" s="95">
        <f t="shared" si="4"/>
        <v>0</v>
      </c>
      <c r="J59" s="3"/>
      <c r="K59" s="3"/>
      <c r="L59" s="3"/>
      <c r="M59" s="3"/>
      <c r="N59" s="3"/>
    </row>
    <row r="60" spans="1:14" ht="12.75">
      <c r="A60" s="4">
        <f t="shared" si="5"/>
        <v>15</v>
      </c>
      <c r="B60" s="44" t="s">
        <v>302</v>
      </c>
      <c r="C60" s="94">
        <v>0</v>
      </c>
      <c r="D60" s="94">
        <v>0</v>
      </c>
      <c r="E60" s="94">
        <v>0</v>
      </c>
      <c r="F60" s="94">
        <v>0</v>
      </c>
      <c r="G60" s="94">
        <v>0</v>
      </c>
      <c r="H60" s="94">
        <v>0</v>
      </c>
      <c r="I60" s="95">
        <f t="shared" si="4"/>
        <v>0</v>
      </c>
      <c r="J60" s="3"/>
      <c r="K60" s="3"/>
      <c r="L60" s="3"/>
      <c r="M60" s="3"/>
      <c r="N60" s="3"/>
    </row>
    <row r="61" spans="1:14" ht="12.75">
      <c r="A61" s="4">
        <f t="shared" si="5"/>
        <v>16</v>
      </c>
      <c r="B61" s="44" t="s">
        <v>66</v>
      </c>
      <c r="C61" s="94">
        <v>0</v>
      </c>
      <c r="D61" s="94">
        <v>0</v>
      </c>
      <c r="E61" s="94">
        <v>0</v>
      </c>
      <c r="F61" s="94">
        <v>0</v>
      </c>
      <c r="G61" s="94">
        <v>0</v>
      </c>
      <c r="H61" s="94">
        <v>0</v>
      </c>
      <c r="I61" s="95">
        <f t="shared" si="4"/>
        <v>0</v>
      </c>
      <c r="J61" s="3"/>
      <c r="K61" s="3"/>
      <c r="L61" s="3"/>
      <c r="M61" s="3"/>
      <c r="N61" s="3"/>
    </row>
    <row r="62" spans="1:14" ht="12.75">
      <c r="A62" s="4">
        <f t="shared" si="5"/>
        <v>17</v>
      </c>
      <c r="B62" s="44" t="s">
        <v>67</v>
      </c>
      <c r="C62" s="94">
        <v>0</v>
      </c>
      <c r="D62" s="94">
        <v>0</v>
      </c>
      <c r="E62" s="94">
        <v>0</v>
      </c>
      <c r="F62" s="94">
        <v>0</v>
      </c>
      <c r="G62" s="94">
        <v>0</v>
      </c>
      <c r="H62" s="94">
        <v>0</v>
      </c>
      <c r="I62" s="95">
        <f t="shared" si="4"/>
        <v>0</v>
      </c>
      <c r="J62" s="3"/>
      <c r="K62" s="3"/>
      <c r="L62" s="3"/>
      <c r="M62" s="3"/>
      <c r="N62" s="3"/>
    </row>
    <row r="63" spans="1:14" ht="12.75">
      <c r="A63" s="4">
        <f t="shared" si="5"/>
        <v>18</v>
      </c>
      <c r="B63" s="44" t="s">
        <v>29</v>
      </c>
      <c r="C63" s="94">
        <v>0</v>
      </c>
      <c r="D63" s="94">
        <v>0</v>
      </c>
      <c r="E63" s="94">
        <v>0</v>
      </c>
      <c r="F63" s="94">
        <v>0</v>
      </c>
      <c r="G63" s="94">
        <v>0</v>
      </c>
      <c r="H63" s="94">
        <v>0</v>
      </c>
      <c r="I63" s="95">
        <f t="shared" si="4"/>
        <v>0</v>
      </c>
      <c r="J63" s="3"/>
      <c r="K63" s="3"/>
      <c r="L63" s="3"/>
      <c r="M63" s="3"/>
      <c r="N63" s="3"/>
    </row>
    <row r="64" spans="1:14" ht="12.75">
      <c r="A64" s="4">
        <f t="shared" si="5"/>
        <v>19</v>
      </c>
      <c r="B64" s="22" t="s">
        <v>301</v>
      </c>
      <c r="C64" s="94">
        <v>0</v>
      </c>
      <c r="D64" s="94">
        <v>0</v>
      </c>
      <c r="E64" s="94">
        <v>0</v>
      </c>
      <c r="F64" s="94">
        <v>0</v>
      </c>
      <c r="G64" s="94">
        <v>0</v>
      </c>
      <c r="H64" s="94">
        <v>0</v>
      </c>
      <c r="I64" s="95">
        <f t="shared" si="4"/>
        <v>0</v>
      </c>
      <c r="J64" s="3"/>
      <c r="K64" s="3"/>
      <c r="L64" s="3"/>
      <c r="M64" s="3"/>
      <c r="N64" s="3"/>
    </row>
    <row r="65" spans="1:14" ht="12.75">
      <c r="A65" s="4">
        <f t="shared" si="5"/>
        <v>20</v>
      </c>
      <c r="B65" s="22" t="s">
        <v>300</v>
      </c>
      <c r="C65" s="94">
        <v>0</v>
      </c>
      <c r="D65" s="94">
        <v>0</v>
      </c>
      <c r="E65" s="94">
        <v>0</v>
      </c>
      <c r="F65" s="94">
        <v>0</v>
      </c>
      <c r="G65" s="94">
        <v>0</v>
      </c>
      <c r="H65" s="94">
        <v>0</v>
      </c>
      <c r="I65" s="95">
        <f t="shared" si="4"/>
        <v>0</v>
      </c>
      <c r="J65" s="3"/>
      <c r="K65" s="3"/>
      <c r="L65" s="3"/>
      <c r="M65" s="3"/>
      <c r="N65" s="3"/>
    </row>
    <row r="66" spans="1:14" ht="12.75">
      <c r="A66" s="4">
        <f t="shared" si="5"/>
        <v>21</v>
      </c>
      <c r="B66" s="197" t="s">
        <v>40</v>
      </c>
      <c r="C66" s="94">
        <v>0</v>
      </c>
      <c r="D66" s="94">
        <v>0</v>
      </c>
      <c r="E66" s="94">
        <v>0</v>
      </c>
      <c r="F66" s="94">
        <v>0</v>
      </c>
      <c r="G66" s="94">
        <v>0</v>
      </c>
      <c r="H66" s="94">
        <v>0</v>
      </c>
      <c r="I66" s="95">
        <f>SUM(C66:H66)</f>
        <v>0</v>
      </c>
      <c r="J66" s="3"/>
      <c r="K66" s="3"/>
      <c r="L66" s="3"/>
      <c r="M66" s="3"/>
      <c r="N66" s="3"/>
    </row>
    <row r="67" spans="1:14" ht="12.75">
      <c r="A67" s="4">
        <f t="shared" si="5"/>
        <v>22</v>
      </c>
      <c r="B67" s="197" t="s">
        <v>40</v>
      </c>
      <c r="C67" s="94">
        <v>0</v>
      </c>
      <c r="D67" s="94">
        <v>0</v>
      </c>
      <c r="E67" s="94">
        <v>0</v>
      </c>
      <c r="F67" s="94">
        <v>0</v>
      </c>
      <c r="G67" s="94">
        <v>0</v>
      </c>
      <c r="H67" s="94">
        <v>0</v>
      </c>
      <c r="I67" s="95">
        <f>SUM(C67:H67)</f>
        <v>0</v>
      </c>
      <c r="J67" s="3"/>
      <c r="K67" s="3"/>
      <c r="L67" s="3"/>
      <c r="M67" s="3"/>
      <c r="N67" s="3"/>
    </row>
    <row r="68" spans="1:14" ht="12.75">
      <c r="A68" s="4">
        <f t="shared" si="5"/>
        <v>23</v>
      </c>
      <c r="B68" s="197" t="s">
        <v>40</v>
      </c>
      <c r="C68" s="94">
        <v>0</v>
      </c>
      <c r="D68" s="94">
        <v>0</v>
      </c>
      <c r="E68" s="94">
        <v>0</v>
      </c>
      <c r="F68" s="94">
        <v>0</v>
      </c>
      <c r="G68" s="94">
        <v>0</v>
      </c>
      <c r="H68" s="94">
        <v>0</v>
      </c>
      <c r="I68" s="95">
        <f t="shared" si="4"/>
        <v>0</v>
      </c>
      <c r="J68" s="3"/>
      <c r="K68" s="3"/>
      <c r="L68" s="3"/>
      <c r="M68" s="3"/>
      <c r="N68" s="3"/>
    </row>
    <row r="69" spans="1:14" ht="12.75">
      <c r="A69" s="4">
        <f t="shared" si="5"/>
        <v>24</v>
      </c>
      <c r="B69" s="48" t="s">
        <v>97</v>
      </c>
      <c r="C69" s="95">
        <f aca="true" t="shared" si="6" ref="C69:I69">SUM(C48,C51:C68)</f>
        <v>0</v>
      </c>
      <c r="D69" s="95">
        <f t="shared" si="6"/>
        <v>0</v>
      </c>
      <c r="E69" s="95">
        <f t="shared" si="6"/>
        <v>0</v>
      </c>
      <c r="F69" s="95">
        <f t="shared" si="6"/>
        <v>0</v>
      </c>
      <c r="G69" s="95">
        <f>SUM(G48,G51:G68)</f>
        <v>0</v>
      </c>
      <c r="H69" s="95">
        <f t="shared" si="6"/>
        <v>0</v>
      </c>
      <c r="I69" s="95">
        <f t="shared" si="6"/>
        <v>0</v>
      </c>
      <c r="J69" s="3"/>
      <c r="K69" s="3"/>
      <c r="L69" s="3"/>
      <c r="M69" s="3"/>
      <c r="N69" s="3"/>
    </row>
    <row r="70" spans="2:9" ht="12.75">
      <c r="B70" s="222" t="s">
        <v>402</v>
      </c>
      <c r="C70" s="223">
        <f>Instruction!$H$3</f>
        <v>79490.41999999993</v>
      </c>
      <c r="D70" s="223">
        <f>Instruction!$H$4</f>
        <v>0</v>
      </c>
      <c r="E70" s="223">
        <f>Instruction!$H$5</f>
        <v>475.35000000000036</v>
      </c>
      <c r="F70" s="223">
        <f>Instruction!$H$6</f>
        <v>5000.219999999972</v>
      </c>
      <c r="G70" s="223">
        <f>Instruction!$H$7</f>
        <v>4055.7999999999884</v>
      </c>
      <c r="H70" s="223">
        <f>Instruction!$H$8</f>
        <v>0</v>
      </c>
      <c r="I70" s="223">
        <f>Instruction!$H$9</f>
        <v>89021.78999999989</v>
      </c>
    </row>
    <row r="71" spans="2:9" ht="12.75">
      <c r="B71" s="224" t="s">
        <v>399</v>
      </c>
      <c r="C71" s="225">
        <f>C69-C70</f>
        <v>-79490.41999999993</v>
      </c>
      <c r="D71" s="225">
        <f aca="true" t="shared" si="7" ref="D71:I71">D69-D70</f>
        <v>0</v>
      </c>
      <c r="E71" s="225">
        <f t="shared" si="7"/>
        <v>-475.35000000000036</v>
      </c>
      <c r="F71" s="225">
        <f t="shared" si="7"/>
        <v>-5000.219999999972</v>
      </c>
      <c r="G71" s="225">
        <f t="shared" si="7"/>
        <v>-4055.7999999999884</v>
      </c>
      <c r="H71" s="225">
        <f t="shared" si="7"/>
        <v>0</v>
      </c>
      <c r="I71" s="225">
        <f t="shared" si="7"/>
        <v>-89021.78999999989</v>
      </c>
    </row>
    <row r="72" spans="2:9" ht="12.75">
      <c r="B72" s="179" t="s">
        <v>357</v>
      </c>
      <c r="C72" s="3"/>
      <c r="D72" s="178"/>
      <c r="E72" s="3"/>
      <c r="F72" s="178"/>
      <c r="G72" s="3"/>
      <c r="H72" s="3"/>
      <c r="I72" s="28"/>
    </row>
    <row r="73" spans="2:9" ht="12.75">
      <c r="B73" s="180"/>
      <c r="C73" s="181"/>
      <c r="D73" s="182"/>
      <c r="E73" s="181"/>
      <c r="F73" s="182"/>
      <c r="G73" s="181"/>
      <c r="H73" s="181"/>
      <c r="I73" s="183"/>
    </row>
    <row r="74" spans="2:9" ht="12.75">
      <c r="B74" s="184"/>
      <c r="C74" s="185"/>
      <c r="D74" s="186"/>
      <c r="E74" s="185"/>
      <c r="F74" s="186"/>
      <c r="G74" s="185"/>
      <c r="H74" s="185"/>
      <c r="I74" s="187"/>
    </row>
    <row r="75" spans="2:9" ht="12.75">
      <c r="B75" s="184"/>
      <c r="C75" s="185"/>
      <c r="D75" s="186"/>
      <c r="E75" s="185"/>
      <c r="F75" s="186"/>
      <c r="G75" s="185"/>
      <c r="H75" s="185"/>
      <c r="I75" s="187"/>
    </row>
    <row r="76" spans="2:9" ht="12.75">
      <c r="B76" s="184"/>
      <c r="C76" s="185"/>
      <c r="D76" s="186"/>
      <c r="E76" s="185"/>
      <c r="F76" s="186"/>
      <c r="G76" s="185"/>
      <c r="H76" s="185"/>
      <c r="I76" s="187"/>
    </row>
    <row r="77" spans="2:9" ht="12.75">
      <c r="B77" s="188"/>
      <c r="C77" s="189"/>
      <c r="D77" s="190"/>
      <c r="E77" s="189"/>
      <c r="F77" s="190"/>
      <c r="G77" s="189"/>
      <c r="H77" s="189"/>
      <c r="I77" s="191"/>
    </row>
    <row r="78" spans="2:14" ht="12.75">
      <c r="B78" s="92"/>
      <c r="C78" s="93"/>
      <c r="D78" s="93"/>
      <c r="E78" s="93"/>
      <c r="F78" s="93"/>
      <c r="G78" s="93"/>
      <c r="H78" s="93"/>
      <c r="I78" s="93"/>
      <c r="J78" s="3"/>
      <c r="K78" s="3"/>
      <c r="L78" s="3"/>
      <c r="M78" s="3"/>
      <c r="N78" s="3"/>
    </row>
  </sheetData>
  <sheetProtection password="CAD5" sheet="1"/>
  <conditionalFormatting sqref="B34:F38 B2:F3 B73:F77 A2:A4 A39:F42 A6:F9 A13:F30 A45:F48 A52:F69 B3:B4 H52:I69 H45:I48 H13:I30 H6:I9 H73:I77 H34:I42 H2:I3 A43:B43">
    <cfRule type="expression" priority="24" dxfId="0" stopIfTrue="1">
      <formula>CELL("protect",A2)</formula>
    </cfRule>
  </conditionalFormatting>
  <conditionalFormatting sqref="A33:A38 B33:F33 A72:A77 B72:F72 H72:I72 H33:I33">
    <cfRule type="expression" priority="25" dxfId="0" stopIfTrue="1">
      <formula>CELL("protect",$A$2)</formula>
    </cfRule>
  </conditionalFormatting>
  <conditionalFormatting sqref="A1:F1 H1:I1">
    <cfRule type="expression" priority="23" dxfId="0" stopIfTrue="1">
      <formula>CELL("protect",A1)</formula>
    </cfRule>
  </conditionalFormatting>
  <conditionalFormatting sqref="A5:B5">
    <cfRule type="expression" priority="22" dxfId="0" stopIfTrue="1">
      <formula>CELL("protect",A5)</formula>
    </cfRule>
  </conditionalFormatting>
  <conditionalFormatting sqref="A11:F12 H11:I12">
    <cfRule type="expression" priority="21" dxfId="0" stopIfTrue="1">
      <formula>CELL("protect",A11)</formula>
    </cfRule>
  </conditionalFormatting>
  <conditionalFormatting sqref="A10:B10">
    <cfRule type="expression" priority="20" dxfId="0" stopIfTrue="1">
      <formula>CELL("protect",A10)</formula>
    </cfRule>
  </conditionalFormatting>
  <conditionalFormatting sqref="A44:B44">
    <cfRule type="expression" priority="19" dxfId="0" stopIfTrue="1">
      <formula>CELL("protect",A44)</formula>
    </cfRule>
  </conditionalFormatting>
  <conditionalFormatting sqref="A50:F51 H50:I51">
    <cfRule type="expression" priority="18" dxfId="0" stopIfTrue="1">
      <formula>CELL("protect",A50)</formula>
    </cfRule>
  </conditionalFormatting>
  <conditionalFormatting sqref="A49:B49">
    <cfRule type="expression" priority="17" dxfId="0" stopIfTrue="1">
      <formula>CELL("protect",A49)</formula>
    </cfRule>
  </conditionalFormatting>
  <conditionalFormatting sqref="A31:A32">
    <cfRule type="expression" priority="16" dxfId="0" stopIfTrue="1">
      <formula>CELL("protect",$A$1)</formula>
    </cfRule>
  </conditionalFormatting>
  <conditionalFormatting sqref="A70:A71">
    <cfRule type="expression" priority="15" dxfId="0" stopIfTrue="1">
      <formula>CELL("protect",$A$1)</formula>
    </cfRule>
  </conditionalFormatting>
  <conditionalFormatting sqref="B70:I71">
    <cfRule type="expression" priority="4" dxfId="0" stopIfTrue="1">
      <formula>CELL("protect",$A$1)</formula>
    </cfRule>
  </conditionalFormatting>
  <conditionalFormatting sqref="G52:G69 G45:G48 G13:G30 G6:G9 G73:G77 G34:G42 G2:G3">
    <cfRule type="expression" priority="13" dxfId="0" stopIfTrue="1">
      <formula>CELL("protect",G2)</formula>
    </cfRule>
  </conditionalFormatting>
  <conditionalFormatting sqref="G72 G33">
    <cfRule type="expression" priority="14" dxfId="0" stopIfTrue="1">
      <formula>CELL("protect",$A$2)</formula>
    </cfRule>
  </conditionalFormatting>
  <conditionalFormatting sqref="G1">
    <cfRule type="expression" priority="12" dxfId="0" stopIfTrue="1">
      <formula>CELL("protect",G1)</formula>
    </cfRule>
  </conditionalFormatting>
  <conditionalFormatting sqref="G11:G12">
    <cfRule type="expression" priority="11" dxfId="0" stopIfTrue="1">
      <formula>CELL("protect",G11)</formula>
    </cfRule>
  </conditionalFormatting>
  <conditionalFormatting sqref="G50:G51">
    <cfRule type="expression" priority="10" dxfId="0" stopIfTrue="1">
      <formula>CELL("protect",G50)</formula>
    </cfRule>
  </conditionalFormatting>
  <conditionalFormatting sqref="C4 E4:I4">
    <cfRule type="expression" priority="7" dxfId="0" stopIfTrue="1">
      <formula>CELL("protect",C4)</formula>
    </cfRule>
  </conditionalFormatting>
  <conditionalFormatting sqref="D4">
    <cfRule type="expression" priority="6" dxfId="0" stopIfTrue="1">
      <formula>CELL("protect",D4)</formula>
    </cfRule>
  </conditionalFormatting>
  <conditionalFormatting sqref="B31:I32">
    <cfRule type="expression" priority="5" dxfId="0" stopIfTrue="1">
      <formula>CELL("protect",$A$1)</formula>
    </cfRule>
  </conditionalFormatting>
  <conditionalFormatting sqref="E43:I43">
    <cfRule type="expression" priority="3" dxfId="0" stopIfTrue="1">
      <formula>CELL("protect",E43)</formula>
    </cfRule>
  </conditionalFormatting>
  <conditionalFormatting sqref="D43">
    <cfRule type="expression" priority="2" dxfId="0" stopIfTrue="1">
      <formula>CELL("protect",D43)</formula>
    </cfRule>
  </conditionalFormatting>
  <conditionalFormatting sqref="C43">
    <cfRule type="expression" priority="1" dxfId="0" stopIfTrue="1">
      <formula>CELL("protect",C43)</formula>
    </cfRule>
  </conditionalFormatting>
  <printOptions/>
  <pageMargins left="0.5" right="0.5" top="1.02" bottom="0.31" header="0.46" footer="0"/>
  <pageSetup blackAndWhite="1" fitToHeight="0" fitToWidth="1" horizontalDpi="600" verticalDpi="600" orientation="landscape" scale="71"/>
  <headerFooter alignWithMargins="0">
    <oddHeader>&amp;C&amp;16Detail of Changes in the Instruction Function from Prior Year</oddHeader>
  </headerFooter>
  <rowBreaks count="1" manualBreakCount="1">
    <brk id="40" max="7" man="1"/>
  </rowBreaks>
</worksheet>
</file>

<file path=xl/worksheets/sheet12.xml><?xml version="1.0" encoding="utf-8"?>
<worksheet xmlns="http://schemas.openxmlformats.org/spreadsheetml/2006/main" xmlns:r="http://schemas.openxmlformats.org/officeDocument/2006/relationships">
  <sheetPr>
    <pageSetUpPr fitToPage="1"/>
  </sheetPr>
  <dimension ref="A2:M30"/>
  <sheetViews>
    <sheetView zoomScalePageLayoutView="0" workbookViewId="0" topLeftCell="A1">
      <selection activeCell="H17" sqref="H17"/>
    </sheetView>
  </sheetViews>
  <sheetFormatPr defaultColWidth="9.140625" defaultRowHeight="12.75"/>
  <cols>
    <col min="1" max="1" width="15.8515625" style="42" bestFit="1" customWidth="1"/>
    <col min="2" max="2" width="14.28125" style="3" bestFit="1" customWidth="1"/>
    <col min="3" max="3" width="15.421875" style="3" customWidth="1"/>
    <col min="4" max="4" width="15.00390625" style="3" customWidth="1"/>
    <col min="5" max="5" width="14.00390625" style="3" bestFit="1" customWidth="1"/>
    <col min="6" max="6" width="10.140625" style="3" bestFit="1" customWidth="1"/>
    <col min="7" max="7" width="14.8515625" style="3" customWidth="1"/>
    <col min="8" max="8" width="12.28125" style="3" bestFit="1" customWidth="1"/>
    <col min="9" max="9" width="10.00390625" style="3" bestFit="1" customWidth="1"/>
    <col min="10" max="16384" width="11.421875" style="3" customWidth="1"/>
  </cols>
  <sheetData>
    <row r="2" spans="1:9" s="36" customFormat="1" ht="38.25">
      <c r="A2" s="15"/>
      <c r="B2" s="16" t="s">
        <v>167</v>
      </c>
      <c r="C2" s="170" t="str">
        <f>Headers!A1</f>
        <v>Preliminary Actual
2014-15</v>
      </c>
      <c r="D2" s="170" t="str">
        <f>Headers!B1</f>
        <v>Budgeted
2015-16 </v>
      </c>
      <c r="E2" s="16" t="s">
        <v>161</v>
      </c>
      <c r="F2" s="147" t="s">
        <v>162</v>
      </c>
      <c r="G2" s="170" t="str">
        <f>Headers!C1</f>
        <v>Estimated
2016-17</v>
      </c>
      <c r="H2" s="16" t="s">
        <v>161</v>
      </c>
      <c r="I2" s="147" t="s">
        <v>162</v>
      </c>
    </row>
    <row r="3" spans="1:9" ht="12.75">
      <c r="A3" s="48" t="s">
        <v>32</v>
      </c>
      <c r="B3" s="151" t="s">
        <v>171</v>
      </c>
      <c r="C3" s="149">
        <v>203583.19</v>
      </c>
      <c r="D3" s="149">
        <v>143648.62</v>
      </c>
      <c r="E3" s="74">
        <f aca="true" t="shared" si="0" ref="E3:E16">D3-C3</f>
        <v>-59934.57000000001</v>
      </c>
      <c r="F3" s="154">
        <f aca="true" t="shared" si="1" ref="F3:F16">E3/C3</f>
        <v>-0.29439842258096066</v>
      </c>
      <c r="G3" s="149">
        <v>145000</v>
      </c>
      <c r="H3" s="74">
        <f aca="true" t="shared" si="2" ref="H3:H16">G3-D3</f>
        <v>1351.3800000000047</v>
      </c>
      <c r="I3" s="154">
        <f aca="true" t="shared" si="3" ref="I3:I16">H3/D3</f>
        <v>0.009407539035181853</v>
      </c>
    </row>
    <row r="4" spans="1:9" ht="12.75">
      <c r="A4" s="48" t="s">
        <v>33</v>
      </c>
      <c r="B4" s="151" t="s">
        <v>172</v>
      </c>
      <c r="C4" s="149">
        <f>12063.89+106694.68+141.04</f>
        <v>118899.60999999999</v>
      </c>
      <c r="D4" s="149">
        <f>92840+67151.83</f>
        <v>159991.83000000002</v>
      </c>
      <c r="E4" s="74">
        <f t="shared" si="0"/>
        <v>41092.22000000003</v>
      </c>
      <c r="F4" s="154">
        <f t="shared" si="1"/>
        <v>0.34560432956844883</v>
      </c>
      <c r="G4" s="149">
        <v>161000</v>
      </c>
      <c r="H4" s="74">
        <f t="shared" si="2"/>
        <v>1008.1699999999837</v>
      </c>
      <c r="I4" s="154">
        <f t="shared" si="3"/>
        <v>0.0063013842644339</v>
      </c>
    </row>
    <row r="5" spans="1:9" ht="12.75">
      <c r="A5" s="48" t="s">
        <v>34</v>
      </c>
      <c r="B5" s="151" t="s">
        <v>173</v>
      </c>
      <c r="C5" s="149">
        <f>63720.81+203893.54</f>
        <v>267614.35</v>
      </c>
      <c r="D5" s="149">
        <f>35050+252100.8</f>
        <v>287150.8</v>
      </c>
      <c r="E5" s="74">
        <f t="shared" si="0"/>
        <v>19536.45000000001</v>
      </c>
      <c r="F5" s="154">
        <f t="shared" si="1"/>
        <v>0.07300225118720283</v>
      </c>
      <c r="G5" s="149">
        <v>288000</v>
      </c>
      <c r="H5" s="74">
        <f t="shared" si="2"/>
        <v>849.2000000000116</v>
      </c>
      <c r="I5" s="154">
        <f t="shared" si="3"/>
        <v>0.0029573311305419025</v>
      </c>
    </row>
    <row r="6" spans="1:9" ht="12.75">
      <c r="A6" s="48" t="s">
        <v>174</v>
      </c>
      <c r="B6" s="151" t="s">
        <v>175</v>
      </c>
      <c r="C6" s="149">
        <v>351712.47</v>
      </c>
      <c r="D6" s="149">
        <v>325791</v>
      </c>
      <c r="E6" s="74">
        <f t="shared" si="0"/>
        <v>-25921.469999999972</v>
      </c>
      <c r="F6" s="154">
        <f t="shared" si="1"/>
        <v>-0.07370074197255495</v>
      </c>
      <c r="G6" s="149">
        <v>326000</v>
      </c>
      <c r="H6" s="74">
        <f t="shared" si="2"/>
        <v>209</v>
      </c>
      <c r="I6" s="154">
        <f t="shared" si="3"/>
        <v>0.0006415155728672677</v>
      </c>
    </row>
    <row r="7" spans="1:9" ht="12.75">
      <c r="A7" s="48" t="s">
        <v>36</v>
      </c>
      <c r="B7" s="151" t="s">
        <v>176</v>
      </c>
      <c r="C7" s="149">
        <f>113926.44+72208.3</f>
        <v>186134.74</v>
      </c>
      <c r="D7" s="149">
        <f>113133+108112.5</f>
        <v>221245.5</v>
      </c>
      <c r="E7" s="74">
        <f t="shared" si="0"/>
        <v>35110.76000000001</v>
      </c>
      <c r="F7" s="154">
        <f t="shared" si="1"/>
        <v>0.18863088104885747</v>
      </c>
      <c r="G7" s="149">
        <v>221500</v>
      </c>
      <c r="H7" s="74">
        <f t="shared" si="2"/>
        <v>254.5</v>
      </c>
      <c r="I7" s="154">
        <f t="shared" si="3"/>
        <v>0.001150305881927542</v>
      </c>
    </row>
    <row r="8" spans="1:9" ht="12.75">
      <c r="A8" s="48" t="s">
        <v>37</v>
      </c>
      <c r="B8" s="151" t="s">
        <v>177</v>
      </c>
      <c r="C8" s="149">
        <v>524956.54</v>
      </c>
      <c r="D8" s="149">
        <v>478580.93</v>
      </c>
      <c r="E8" s="74">
        <f t="shared" si="0"/>
        <v>-46375.610000000044</v>
      </c>
      <c r="F8" s="154">
        <f t="shared" si="1"/>
        <v>-0.08834180825711789</v>
      </c>
      <c r="G8" s="149">
        <v>479000</v>
      </c>
      <c r="H8" s="74">
        <f t="shared" si="2"/>
        <v>419.070000000007</v>
      </c>
      <c r="I8" s="154">
        <f t="shared" si="3"/>
        <v>0.0008756512717713324</v>
      </c>
    </row>
    <row r="9" spans="1:9" ht="12.75">
      <c r="A9" s="48" t="s">
        <v>135</v>
      </c>
      <c r="B9" s="151" t="s">
        <v>178</v>
      </c>
      <c r="C9" s="149">
        <v>511142.72</v>
      </c>
      <c r="D9" s="149">
        <v>464597.7</v>
      </c>
      <c r="E9" s="74">
        <f>D9-C9</f>
        <v>-46545.01999999996</v>
      </c>
      <c r="F9" s="154">
        <f t="shared" si="1"/>
        <v>-0.09106071196709985</v>
      </c>
      <c r="G9" s="149">
        <v>465000</v>
      </c>
      <c r="H9" s="74">
        <f>G9-D9</f>
        <v>402.29999999998836</v>
      </c>
      <c r="I9" s="154">
        <f>H9/D9</f>
        <v>0.0008659104425183086</v>
      </c>
    </row>
    <row r="10" spans="1:9" ht="12.75">
      <c r="A10" s="48" t="s">
        <v>39</v>
      </c>
      <c r="B10" s="151" t="s">
        <v>179</v>
      </c>
      <c r="C10" s="149">
        <f>593.73+141573.89</f>
        <v>142167.62000000002</v>
      </c>
      <c r="D10" s="149">
        <v>135971.57</v>
      </c>
      <c r="E10" s="74">
        <f>D10-C10</f>
        <v>-6196.0500000000175</v>
      </c>
      <c r="F10" s="154">
        <f t="shared" si="1"/>
        <v>-0.043582708917825425</v>
      </c>
      <c r="G10" s="149">
        <v>136000</v>
      </c>
      <c r="H10" s="74">
        <f>G10-D10</f>
        <v>28.429999999993015</v>
      </c>
      <c r="I10" s="154">
        <f>H10/D10</f>
        <v>0.00020908782622715185</v>
      </c>
    </row>
    <row r="11" spans="1:9" ht="12.75">
      <c r="A11" s="48" t="s">
        <v>40</v>
      </c>
      <c r="B11" s="151" t="s">
        <v>136</v>
      </c>
      <c r="C11" s="149">
        <v>115803.45</v>
      </c>
      <c r="D11" s="149">
        <v>117150.16</v>
      </c>
      <c r="E11" s="74">
        <f t="shared" si="0"/>
        <v>1346.7100000000064</v>
      </c>
      <c r="F11" s="154">
        <f t="shared" si="1"/>
        <v>0.011629273566547511</v>
      </c>
      <c r="G11" s="149">
        <v>117000</v>
      </c>
      <c r="H11" s="74">
        <f t="shared" si="2"/>
        <v>-150.1600000000035</v>
      </c>
      <c r="I11" s="154">
        <f t="shared" si="3"/>
        <v>-0.0012817737508852185</v>
      </c>
    </row>
    <row r="12" spans="1:9" ht="12.75">
      <c r="A12" s="48" t="s">
        <v>182</v>
      </c>
      <c r="B12" s="151" t="s">
        <v>180</v>
      </c>
      <c r="C12" s="149">
        <v>1423</v>
      </c>
      <c r="D12" s="149">
        <v>1627.71</v>
      </c>
      <c r="E12" s="74">
        <f t="shared" si="0"/>
        <v>204.71000000000004</v>
      </c>
      <c r="F12" s="154">
        <f t="shared" si="1"/>
        <v>0.14385804638088548</v>
      </c>
      <c r="G12" s="149">
        <v>1500</v>
      </c>
      <c r="H12" s="74">
        <f t="shared" si="2"/>
        <v>-127.71000000000004</v>
      </c>
      <c r="I12" s="154">
        <f t="shared" si="3"/>
        <v>-0.07845992222201746</v>
      </c>
    </row>
    <row r="13" spans="1:9" ht="12.75">
      <c r="A13" s="48" t="s">
        <v>41</v>
      </c>
      <c r="B13" s="151" t="s">
        <v>185</v>
      </c>
      <c r="C13" s="149">
        <v>0</v>
      </c>
      <c r="D13" s="149">
        <v>0</v>
      </c>
      <c r="E13" s="74">
        <f t="shared" si="0"/>
        <v>0</v>
      </c>
      <c r="F13" s="154" t="e">
        <f t="shared" si="1"/>
        <v>#DIV/0!</v>
      </c>
      <c r="G13" s="155">
        <v>0</v>
      </c>
      <c r="H13" s="74">
        <f t="shared" si="2"/>
        <v>0</v>
      </c>
      <c r="I13" s="154" t="e">
        <f t="shared" si="3"/>
        <v>#DIV/0!</v>
      </c>
    </row>
    <row r="14" spans="1:9" ht="12.75">
      <c r="A14" s="48" t="s">
        <v>187</v>
      </c>
      <c r="B14" s="151" t="s">
        <v>186</v>
      </c>
      <c r="C14" s="149">
        <v>0</v>
      </c>
      <c r="D14" s="149">
        <v>0</v>
      </c>
      <c r="E14" s="74">
        <f t="shared" si="0"/>
        <v>0</v>
      </c>
      <c r="F14" s="154" t="e">
        <f t="shared" si="1"/>
        <v>#DIV/0!</v>
      </c>
      <c r="G14" s="155">
        <v>0</v>
      </c>
      <c r="H14" s="74">
        <f>G14-D14</f>
        <v>0</v>
      </c>
      <c r="I14" s="154" t="e">
        <f>H14/D14</f>
        <v>#DIV/0!</v>
      </c>
    </row>
    <row r="15" spans="1:9" ht="12.75">
      <c r="A15" s="48" t="s">
        <v>143</v>
      </c>
      <c r="B15" s="151" t="s">
        <v>184</v>
      </c>
      <c r="C15" s="149">
        <v>0</v>
      </c>
      <c r="D15" s="149">
        <v>0</v>
      </c>
      <c r="E15" s="74">
        <f t="shared" si="0"/>
        <v>0</v>
      </c>
      <c r="F15" s="154" t="e">
        <f t="shared" si="1"/>
        <v>#DIV/0!</v>
      </c>
      <c r="G15" s="155">
        <v>0</v>
      </c>
      <c r="H15" s="74">
        <f>G15-D15</f>
        <v>0</v>
      </c>
      <c r="I15" s="154" t="e">
        <f>H15/D15</f>
        <v>#DIV/0!</v>
      </c>
    </row>
    <row r="16" spans="1:9" ht="12.75">
      <c r="A16" s="48" t="s">
        <v>183</v>
      </c>
      <c r="B16" s="151" t="s">
        <v>181</v>
      </c>
      <c r="C16" s="149">
        <v>0</v>
      </c>
      <c r="D16" s="149">
        <v>0</v>
      </c>
      <c r="E16" s="74">
        <f t="shared" si="0"/>
        <v>0</v>
      </c>
      <c r="F16" s="154" t="e">
        <f t="shared" si="1"/>
        <v>#DIV/0!</v>
      </c>
      <c r="G16" s="155">
        <v>0</v>
      </c>
      <c r="H16" s="74">
        <f t="shared" si="2"/>
        <v>0</v>
      </c>
      <c r="I16" s="154" t="e">
        <f t="shared" si="3"/>
        <v>#DIV/0!</v>
      </c>
    </row>
    <row r="17" spans="1:9" ht="12.75">
      <c r="A17" s="48"/>
      <c r="B17" s="40"/>
      <c r="C17" s="152">
        <f>SUM(C3:C16)</f>
        <v>2423437.6900000004</v>
      </c>
      <c r="D17" s="152">
        <f>SUM(D3:D16)</f>
        <v>2335755.82</v>
      </c>
      <c r="E17" s="152">
        <f>SUM(E3:E16)</f>
        <v>-87681.86999999994</v>
      </c>
      <c r="F17" s="48"/>
      <c r="G17" s="158">
        <f>SUM(G3:G16)</f>
        <v>2340000</v>
      </c>
      <c r="H17" s="152">
        <f>SUM(H3:H16)</f>
        <v>4244.179999999985</v>
      </c>
      <c r="I17" s="40"/>
    </row>
    <row r="18" spans="1:13" ht="12.75">
      <c r="A18" s="28"/>
      <c r="C18" s="178"/>
      <c r="D18" s="178"/>
      <c r="E18" s="178"/>
      <c r="F18" s="178"/>
      <c r="G18" s="178"/>
      <c r="H18" s="178"/>
      <c r="I18" s="28"/>
      <c r="J18" s="13"/>
      <c r="K18" s="51"/>
      <c r="M18" s="13"/>
    </row>
    <row r="19" spans="1:13" ht="12.75">
      <c r="A19" s="179" t="s">
        <v>357</v>
      </c>
      <c r="C19" s="178"/>
      <c r="D19" s="178"/>
      <c r="E19" s="178"/>
      <c r="F19" s="178"/>
      <c r="G19" s="178"/>
      <c r="H19" s="178"/>
      <c r="I19" s="28"/>
      <c r="J19" s="13"/>
      <c r="K19" s="51"/>
      <c r="M19" s="13"/>
    </row>
    <row r="20" spans="1:13" ht="12.75">
      <c r="A20" s="180"/>
      <c r="B20" s="181"/>
      <c r="C20" s="182"/>
      <c r="D20" s="182"/>
      <c r="E20" s="182"/>
      <c r="F20" s="182"/>
      <c r="G20" s="182"/>
      <c r="H20" s="182"/>
      <c r="I20" s="183"/>
      <c r="J20" s="13"/>
      <c r="K20" s="51"/>
      <c r="M20" s="13"/>
    </row>
    <row r="21" spans="1:13" ht="12.75">
      <c r="A21" s="184"/>
      <c r="B21" s="185"/>
      <c r="C21" s="186"/>
      <c r="D21" s="186"/>
      <c r="E21" s="186"/>
      <c r="F21" s="186"/>
      <c r="G21" s="186"/>
      <c r="H21" s="186"/>
      <c r="I21" s="187"/>
      <c r="J21" s="13"/>
      <c r="K21" s="51"/>
      <c r="M21" s="13"/>
    </row>
    <row r="22" spans="1:13" ht="12.75">
      <c r="A22" s="184"/>
      <c r="B22" s="185"/>
      <c r="C22" s="186"/>
      <c r="D22" s="186"/>
      <c r="E22" s="186"/>
      <c r="F22" s="186"/>
      <c r="G22" s="186"/>
      <c r="H22" s="186"/>
      <c r="I22" s="187"/>
      <c r="J22" s="13"/>
      <c r="K22" s="51"/>
      <c r="M22" s="13"/>
    </row>
    <row r="23" spans="1:13" ht="12.75">
      <c r="A23" s="184"/>
      <c r="B23" s="185"/>
      <c r="C23" s="186"/>
      <c r="D23" s="186"/>
      <c r="E23" s="186"/>
      <c r="F23" s="186"/>
      <c r="G23" s="186"/>
      <c r="H23" s="186"/>
      <c r="I23" s="187"/>
      <c r="J23" s="13"/>
      <c r="K23" s="51"/>
      <c r="M23" s="13"/>
    </row>
    <row r="24" spans="1:13" ht="12.75">
      <c r="A24" s="184"/>
      <c r="B24" s="185"/>
      <c r="C24" s="186"/>
      <c r="D24" s="186"/>
      <c r="E24" s="186"/>
      <c r="F24" s="186"/>
      <c r="G24" s="186"/>
      <c r="H24" s="186"/>
      <c r="I24" s="187"/>
      <c r="J24" s="13"/>
      <c r="K24" s="51"/>
      <c r="M24" s="13"/>
    </row>
    <row r="25" spans="1:13" ht="12.75">
      <c r="A25" s="184"/>
      <c r="B25" s="185"/>
      <c r="C25" s="186"/>
      <c r="D25" s="186"/>
      <c r="E25" s="186"/>
      <c r="F25" s="186"/>
      <c r="G25" s="186"/>
      <c r="H25" s="186"/>
      <c r="I25" s="187"/>
      <c r="J25" s="13"/>
      <c r="K25" s="51"/>
      <c r="M25" s="13"/>
    </row>
    <row r="26" spans="1:13" ht="12.75">
      <c r="A26" s="184"/>
      <c r="B26" s="185"/>
      <c r="C26" s="186"/>
      <c r="D26" s="186"/>
      <c r="E26" s="186"/>
      <c r="F26" s="186"/>
      <c r="G26" s="186"/>
      <c r="H26" s="186"/>
      <c r="I26" s="187"/>
      <c r="J26" s="13"/>
      <c r="K26" s="51"/>
      <c r="M26" s="13"/>
    </row>
    <row r="27" spans="1:13" ht="12.75">
      <c r="A27" s="184"/>
      <c r="B27" s="185"/>
      <c r="C27" s="186"/>
      <c r="D27" s="186"/>
      <c r="E27" s="186"/>
      <c r="F27" s="186"/>
      <c r="G27" s="186"/>
      <c r="H27" s="186"/>
      <c r="I27" s="187"/>
      <c r="J27" s="13"/>
      <c r="K27" s="51"/>
      <c r="M27" s="13"/>
    </row>
    <row r="28" spans="1:13" ht="12.75">
      <c r="A28" s="184"/>
      <c r="B28" s="185"/>
      <c r="C28" s="186"/>
      <c r="D28" s="186"/>
      <c r="E28" s="186"/>
      <c r="F28" s="186"/>
      <c r="G28" s="186"/>
      <c r="H28" s="186"/>
      <c r="I28" s="187"/>
      <c r="J28" s="13"/>
      <c r="K28" s="51"/>
      <c r="M28" s="13"/>
    </row>
    <row r="29" spans="1:13" ht="12.75">
      <c r="A29" s="184"/>
      <c r="B29" s="185"/>
      <c r="C29" s="186"/>
      <c r="D29" s="186"/>
      <c r="E29" s="186"/>
      <c r="F29" s="186"/>
      <c r="G29" s="186"/>
      <c r="H29" s="186"/>
      <c r="I29" s="187"/>
      <c r="J29" s="13"/>
      <c r="K29" s="51"/>
      <c r="M29" s="13"/>
    </row>
    <row r="30" spans="1:13" ht="12.75">
      <c r="A30" s="188"/>
      <c r="B30" s="189"/>
      <c r="C30" s="190"/>
      <c r="D30" s="190"/>
      <c r="E30" s="190"/>
      <c r="F30" s="190"/>
      <c r="G30" s="190"/>
      <c r="H30" s="190"/>
      <c r="I30" s="191"/>
      <c r="J30" s="13"/>
      <c r="K30" s="51"/>
      <c r="M30" s="13"/>
    </row>
  </sheetData>
  <sheetProtection password="CAD5" sheet="1"/>
  <conditionalFormatting sqref="A20:I30 A1:I17">
    <cfRule type="expression" priority="1" dxfId="0" stopIfTrue="1">
      <formula>CELL("protect",A1)</formula>
    </cfRule>
  </conditionalFormatting>
  <conditionalFormatting sqref="A18:I19">
    <cfRule type="expression" priority="2" dxfId="0" stopIfTrue="1">
      <formula>CELL("protect",$A$1)</formula>
    </cfRule>
  </conditionalFormatting>
  <printOptions/>
  <pageMargins left="0.5" right="0.5" top="1.24" bottom="0.31" header="0.58" footer="0"/>
  <pageSetup blackAndWhite="1" fitToHeight="1" fitToWidth="1" horizontalDpi="600" verticalDpi="600" orientation="landscape"/>
  <headerFooter alignWithMargins="0">
    <oddHeader>&amp;C&amp;16Support Services Summary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86"/>
  <sheetViews>
    <sheetView zoomScale="65" zoomScaleNormal="65" zoomScalePageLayoutView="0" workbookViewId="0" topLeftCell="A1">
      <selection activeCell="M23" sqref="M23"/>
    </sheetView>
  </sheetViews>
  <sheetFormatPr defaultColWidth="9.140625" defaultRowHeight="12.75"/>
  <cols>
    <col min="1" max="1" width="4.421875" style="53" customWidth="1"/>
    <col min="2" max="2" width="49.421875" style="65" bestFit="1" customWidth="1"/>
    <col min="3" max="3" width="15.421875" style="65" customWidth="1"/>
    <col min="4" max="4" width="15.7109375" style="65" customWidth="1"/>
    <col min="5" max="5" width="14.8515625" style="65" customWidth="1"/>
    <col min="6" max="6" width="16.140625" style="65" customWidth="1"/>
    <col min="7" max="7" width="15.28125" style="65" customWidth="1"/>
    <col min="8" max="8" width="15.421875" style="65" customWidth="1"/>
    <col min="9" max="9" width="15.8515625" style="65" customWidth="1"/>
    <col min="10" max="10" width="15.140625" style="65" customWidth="1"/>
    <col min="11" max="11" width="15.421875" style="65" customWidth="1"/>
    <col min="12" max="12" width="13.7109375" style="65" customWidth="1"/>
    <col min="13" max="13" width="15.421875" style="65" customWidth="1"/>
    <col min="14" max="14" width="13.7109375" style="65" customWidth="1"/>
    <col min="15" max="15" width="14.421875" style="65" customWidth="1"/>
    <col min="16" max="16" width="13.8515625" style="65" customWidth="1"/>
    <col min="17" max="17" width="16.421875" style="65" customWidth="1"/>
    <col min="18" max="16384" width="11.421875" style="4" customWidth="1"/>
  </cols>
  <sheetData>
    <row r="1" spans="2:17" ht="12.75">
      <c r="B1" s="210" t="s">
        <v>374</v>
      </c>
      <c r="C1" s="54"/>
      <c r="D1" s="54"/>
      <c r="E1" s="54"/>
      <c r="F1" s="54"/>
      <c r="G1" s="54"/>
      <c r="H1" s="54"/>
      <c r="I1" s="54"/>
      <c r="J1" s="54"/>
      <c r="K1" s="54"/>
      <c r="L1" s="54"/>
      <c r="M1" s="54"/>
      <c r="N1" s="54"/>
      <c r="O1" s="54"/>
      <c r="P1" s="54"/>
      <c r="Q1" s="54"/>
    </row>
    <row r="2" spans="1:17" ht="12.75">
      <c r="A2" s="56"/>
      <c r="B2" s="55"/>
      <c r="C2" s="64"/>
      <c r="D2" s="64"/>
      <c r="E2" s="64"/>
      <c r="F2" s="64"/>
      <c r="G2" s="64"/>
      <c r="H2" s="64"/>
      <c r="I2" s="64"/>
      <c r="J2" s="64"/>
      <c r="K2" s="64"/>
      <c r="L2" s="64"/>
      <c r="M2" s="64"/>
      <c r="N2" s="64"/>
      <c r="O2" s="64"/>
      <c r="P2" s="64"/>
      <c r="Q2" s="64"/>
    </row>
    <row r="3" spans="1:17" ht="12.75">
      <c r="A3" s="56"/>
      <c r="B3" s="172" t="str">
        <f>Headers!A5</f>
        <v>Reconciliation from 2014-15 to 2015-16</v>
      </c>
      <c r="C3" s="229"/>
      <c r="D3" s="229"/>
      <c r="E3" s="229"/>
      <c r="F3" s="229"/>
      <c r="G3" s="229"/>
      <c r="H3" s="229"/>
      <c r="I3" s="229"/>
      <c r="J3" s="229"/>
      <c r="K3" s="229"/>
      <c r="L3" s="229"/>
      <c r="M3" s="229"/>
      <c r="N3" s="230" t="s">
        <v>403</v>
      </c>
      <c r="O3" s="229"/>
      <c r="P3" s="229"/>
      <c r="Q3" s="231"/>
    </row>
    <row r="4" spans="1:17" ht="12.75">
      <c r="A4" s="56"/>
      <c r="B4" s="57"/>
      <c r="C4" s="232" t="s">
        <v>32</v>
      </c>
      <c r="D4" s="232" t="s">
        <v>33</v>
      </c>
      <c r="E4" s="232" t="s">
        <v>34</v>
      </c>
      <c r="F4" s="232" t="s">
        <v>35</v>
      </c>
      <c r="G4" s="232" t="s">
        <v>36</v>
      </c>
      <c r="H4" s="232" t="s">
        <v>37</v>
      </c>
      <c r="I4" s="232" t="s">
        <v>38</v>
      </c>
      <c r="J4" s="232" t="s">
        <v>39</v>
      </c>
      <c r="K4" s="232" t="s">
        <v>40</v>
      </c>
      <c r="L4" s="232" t="s">
        <v>73</v>
      </c>
      <c r="M4" s="232" t="s">
        <v>41</v>
      </c>
      <c r="N4" s="230" t="s">
        <v>404</v>
      </c>
      <c r="O4" s="232" t="s">
        <v>405</v>
      </c>
      <c r="P4" s="232" t="s">
        <v>42</v>
      </c>
      <c r="Q4" s="233" t="s">
        <v>1</v>
      </c>
    </row>
    <row r="5" spans="1:17" ht="12.75">
      <c r="A5" s="56"/>
      <c r="B5" s="57"/>
      <c r="C5" s="232" t="s">
        <v>43</v>
      </c>
      <c r="D5" s="232" t="s">
        <v>44</v>
      </c>
      <c r="E5" s="232" t="s">
        <v>45</v>
      </c>
      <c r="F5" s="232" t="s">
        <v>46</v>
      </c>
      <c r="G5" s="232" t="s">
        <v>47</v>
      </c>
      <c r="H5" s="232" t="s">
        <v>48</v>
      </c>
      <c r="I5" s="232" t="s">
        <v>49</v>
      </c>
      <c r="J5" s="232" t="s">
        <v>50</v>
      </c>
      <c r="K5" s="232" t="s">
        <v>51</v>
      </c>
      <c r="L5" s="232" t="s">
        <v>74</v>
      </c>
      <c r="M5" s="232" t="s">
        <v>52</v>
      </c>
      <c r="N5" s="230" t="s">
        <v>141</v>
      </c>
      <c r="O5" s="230" t="s">
        <v>120</v>
      </c>
      <c r="P5" s="232" t="s">
        <v>53</v>
      </c>
      <c r="Q5" s="233"/>
    </row>
    <row r="6" spans="1:17" s="52" customFormat="1" ht="12.75">
      <c r="A6" s="56"/>
      <c r="B6" s="214" t="s">
        <v>375</v>
      </c>
      <c r="C6" s="97"/>
      <c r="D6" s="97"/>
      <c r="E6" s="97"/>
      <c r="F6" s="97"/>
      <c r="G6" s="97"/>
      <c r="H6" s="97"/>
      <c r="I6" s="97"/>
      <c r="J6" s="97"/>
      <c r="K6" s="97"/>
      <c r="L6" s="97"/>
      <c r="M6" s="97"/>
      <c r="N6" s="97"/>
      <c r="O6" s="97"/>
      <c r="P6" s="97"/>
      <c r="Q6" s="97"/>
    </row>
    <row r="7" spans="1:17" s="52" customFormat="1" ht="12.75">
      <c r="A7" s="56">
        <v>1</v>
      </c>
      <c r="B7" s="218" t="s">
        <v>314</v>
      </c>
      <c r="C7" s="58">
        <v>-0.6</v>
      </c>
      <c r="D7" s="58">
        <v>0</v>
      </c>
      <c r="E7" s="58">
        <v>0</v>
      </c>
      <c r="F7" s="58">
        <v>-1</v>
      </c>
      <c r="G7" s="58">
        <v>0</v>
      </c>
      <c r="H7" s="58">
        <v>-1</v>
      </c>
      <c r="I7" s="58">
        <v>-1</v>
      </c>
      <c r="J7" s="58">
        <v>0</v>
      </c>
      <c r="K7" s="58">
        <v>0</v>
      </c>
      <c r="L7" s="58">
        <v>0</v>
      </c>
      <c r="M7" s="58">
        <v>0</v>
      </c>
      <c r="N7" s="58">
        <v>0</v>
      </c>
      <c r="O7" s="58">
        <v>0</v>
      </c>
      <c r="P7" s="99"/>
      <c r="Q7" s="59">
        <f>SUM(C7:O7)</f>
        <v>-3.6</v>
      </c>
    </row>
    <row r="8" spans="1:17" s="52" customFormat="1" ht="12.75">
      <c r="A8" s="56">
        <v>2</v>
      </c>
      <c r="B8" s="218" t="s">
        <v>315</v>
      </c>
      <c r="C8" s="58">
        <v>0</v>
      </c>
      <c r="D8" s="58">
        <v>-0.4</v>
      </c>
      <c r="E8" s="58">
        <v>0</v>
      </c>
      <c r="F8" s="58">
        <v>0</v>
      </c>
      <c r="G8" s="58">
        <v>0</v>
      </c>
      <c r="H8" s="58">
        <v>0</v>
      </c>
      <c r="I8" s="58">
        <v>0</v>
      </c>
      <c r="J8" s="58">
        <v>0</v>
      </c>
      <c r="K8" s="58">
        <v>0</v>
      </c>
      <c r="L8" s="58">
        <v>0</v>
      </c>
      <c r="M8" s="58">
        <v>0</v>
      </c>
      <c r="N8" s="58">
        <v>0</v>
      </c>
      <c r="O8" s="58">
        <v>0</v>
      </c>
      <c r="P8" s="99"/>
      <c r="Q8" s="59">
        <f aca="true" t="shared" si="0" ref="Q8:Q29">SUM(C8:O8)</f>
        <v>-0.4</v>
      </c>
    </row>
    <row r="9" spans="1:17" s="52" customFormat="1" ht="12.75">
      <c r="A9" s="56">
        <v>3</v>
      </c>
      <c r="B9" s="218" t="s">
        <v>58</v>
      </c>
      <c r="C9" s="67">
        <v>0</v>
      </c>
      <c r="D9" s="67">
        <v>0</v>
      </c>
      <c r="E9" s="67">
        <v>0</v>
      </c>
      <c r="F9" s="67">
        <v>0</v>
      </c>
      <c r="G9" s="67">
        <v>0</v>
      </c>
      <c r="H9" s="67">
        <v>0</v>
      </c>
      <c r="I9" s="67">
        <v>0</v>
      </c>
      <c r="J9" s="67">
        <v>0</v>
      </c>
      <c r="K9" s="67">
        <v>0</v>
      </c>
      <c r="L9" s="67">
        <v>0</v>
      </c>
      <c r="M9" s="67">
        <v>0</v>
      </c>
      <c r="N9" s="67">
        <v>0</v>
      </c>
      <c r="O9" s="67">
        <v>0</v>
      </c>
      <c r="P9" s="100"/>
      <c r="Q9" s="59">
        <f t="shared" si="0"/>
        <v>0</v>
      </c>
    </row>
    <row r="10" spans="1:17" ht="12.75">
      <c r="A10" s="56">
        <f>A9+1</f>
        <v>4</v>
      </c>
      <c r="B10" s="219" t="s">
        <v>65</v>
      </c>
      <c r="C10" s="61">
        <v>-35912</v>
      </c>
      <c r="D10" s="61">
        <v>-25348</v>
      </c>
      <c r="E10" s="61">
        <v>0</v>
      </c>
      <c r="F10" s="61">
        <v>-30281</v>
      </c>
      <c r="G10" s="61">
        <v>0</v>
      </c>
      <c r="H10" s="61">
        <v>-30241</v>
      </c>
      <c r="I10" s="61">
        <v>-22473</v>
      </c>
      <c r="J10" s="61">
        <v>0</v>
      </c>
      <c r="K10" s="61">
        <v>0</v>
      </c>
      <c r="L10" s="61">
        <v>0</v>
      </c>
      <c r="M10" s="61">
        <v>0</v>
      </c>
      <c r="N10" s="61">
        <v>0</v>
      </c>
      <c r="O10" s="61">
        <v>0</v>
      </c>
      <c r="P10" s="101"/>
      <c r="Q10" s="59">
        <f t="shared" si="0"/>
        <v>-144255</v>
      </c>
    </row>
    <row r="11" spans="1:17" s="52" customFormat="1" ht="12.75">
      <c r="A11" s="4"/>
      <c r="B11" s="212" t="s">
        <v>376</v>
      </c>
      <c r="C11" s="97"/>
      <c r="D11" s="97"/>
      <c r="E11" s="97"/>
      <c r="F11" s="97"/>
      <c r="G11" s="97"/>
      <c r="H11" s="97"/>
      <c r="I11" s="97"/>
      <c r="J11" s="97"/>
      <c r="K11" s="97"/>
      <c r="L11" s="97"/>
      <c r="M11" s="97"/>
      <c r="N11" s="97"/>
      <c r="O11" s="97"/>
      <c r="P11" s="101"/>
      <c r="Q11" s="101"/>
    </row>
    <row r="12" spans="1:17" s="52" customFormat="1" ht="12.75">
      <c r="A12" s="4">
        <f>A10+1</f>
        <v>5</v>
      </c>
      <c r="B12" s="213" t="s">
        <v>377</v>
      </c>
      <c r="C12" s="58">
        <v>0</v>
      </c>
      <c r="D12" s="58">
        <v>0</v>
      </c>
      <c r="E12" s="58">
        <v>0.8</v>
      </c>
      <c r="F12" s="58">
        <v>0</v>
      </c>
      <c r="G12" s="58">
        <v>0</v>
      </c>
      <c r="H12" s="58">
        <v>0</v>
      </c>
      <c r="I12" s="58">
        <v>0</v>
      </c>
      <c r="J12" s="58">
        <v>0</v>
      </c>
      <c r="K12" s="58">
        <v>0</v>
      </c>
      <c r="L12" s="58">
        <v>0</v>
      </c>
      <c r="M12" s="58">
        <v>0</v>
      </c>
      <c r="N12" s="58">
        <v>0</v>
      </c>
      <c r="O12" s="58">
        <v>0</v>
      </c>
      <c r="P12" s="101"/>
      <c r="Q12" s="215">
        <f>SUM(C12:O12)</f>
        <v>0.8</v>
      </c>
    </row>
    <row r="13" spans="1:17" ht="12.75">
      <c r="A13" s="4">
        <f>A12+1</f>
        <v>6</v>
      </c>
      <c r="B13" s="213" t="s">
        <v>378</v>
      </c>
      <c r="C13" s="61">
        <v>0</v>
      </c>
      <c r="D13" s="61">
        <v>0</v>
      </c>
      <c r="E13" s="61">
        <v>20400</v>
      </c>
      <c r="F13" s="61">
        <v>0</v>
      </c>
      <c r="G13" s="61">
        <v>0</v>
      </c>
      <c r="H13" s="61">
        <v>0</v>
      </c>
      <c r="I13" s="61">
        <v>0</v>
      </c>
      <c r="J13" s="61">
        <v>0</v>
      </c>
      <c r="K13" s="61">
        <v>0</v>
      </c>
      <c r="L13" s="61">
        <v>0</v>
      </c>
      <c r="M13" s="61">
        <v>0</v>
      </c>
      <c r="N13" s="61">
        <v>0</v>
      </c>
      <c r="O13" s="61">
        <v>0</v>
      </c>
      <c r="P13" s="101"/>
      <c r="Q13" s="59">
        <f>SUM(C13:O13)</f>
        <v>20400</v>
      </c>
    </row>
    <row r="14" spans="1:17" ht="12.75">
      <c r="A14" s="4">
        <f aca="true" t="shared" si="1" ref="A14:A33">A13+1</f>
        <v>7</v>
      </c>
      <c r="B14" s="60" t="s">
        <v>59</v>
      </c>
      <c r="C14" s="61">
        <v>-12619</v>
      </c>
      <c r="D14" s="61">
        <v>-8580</v>
      </c>
      <c r="E14" s="61">
        <v>5147</v>
      </c>
      <c r="F14" s="61">
        <v>-11298</v>
      </c>
      <c r="G14" s="61">
        <v>0</v>
      </c>
      <c r="H14" s="61">
        <v>-10820</v>
      </c>
      <c r="I14" s="61">
        <v>-8569</v>
      </c>
      <c r="J14" s="61">
        <v>0</v>
      </c>
      <c r="K14" s="61">
        <v>0</v>
      </c>
      <c r="L14" s="61">
        <v>0</v>
      </c>
      <c r="M14" s="61">
        <v>0</v>
      </c>
      <c r="N14" s="61">
        <v>0</v>
      </c>
      <c r="O14" s="61">
        <v>0</v>
      </c>
      <c r="P14" s="101"/>
      <c r="Q14" s="59">
        <f t="shared" si="0"/>
        <v>-46739</v>
      </c>
    </row>
    <row r="15" spans="1:17" ht="12.75">
      <c r="A15" s="4">
        <f t="shared" si="1"/>
        <v>8</v>
      </c>
      <c r="B15" s="60" t="s">
        <v>60</v>
      </c>
      <c r="C15" s="61">
        <v>-7892</v>
      </c>
      <c r="D15" s="61">
        <v>-3397</v>
      </c>
      <c r="E15" s="61">
        <v>13656</v>
      </c>
      <c r="F15" s="61">
        <v>-10377</v>
      </c>
      <c r="G15" s="61">
        <v>0</v>
      </c>
      <c r="H15" s="61">
        <v>-15214</v>
      </c>
      <c r="I15" s="61">
        <v>-21507</v>
      </c>
      <c r="J15" s="61">
        <v>0</v>
      </c>
      <c r="K15" s="61">
        <v>0</v>
      </c>
      <c r="L15" s="61">
        <v>0</v>
      </c>
      <c r="M15" s="61">
        <v>0</v>
      </c>
      <c r="N15" s="61">
        <v>0</v>
      </c>
      <c r="O15" s="61">
        <v>0</v>
      </c>
      <c r="P15" s="101"/>
      <c r="Q15" s="59">
        <f t="shared" si="0"/>
        <v>-44731</v>
      </c>
    </row>
    <row r="16" spans="1:17" ht="12.75">
      <c r="A16" s="4">
        <f t="shared" si="1"/>
        <v>9</v>
      </c>
      <c r="B16" s="60" t="s">
        <v>31</v>
      </c>
      <c r="C16" s="61">
        <v>0</v>
      </c>
      <c r="D16" s="61">
        <v>0</v>
      </c>
      <c r="E16" s="61">
        <v>0</v>
      </c>
      <c r="F16" s="61">
        <v>0</v>
      </c>
      <c r="G16" s="61">
        <v>0</v>
      </c>
      <c r="H16" s="61">
        <v>0</v>
      </c>
      <c r="I16" s="61">
        <v>0</v>
      </c>
      <c r="J16" s="61">
        <v>0</v>
      </c>
      <c r="K16" s="61">
        <v>0</v>
      </c>
      <c r="L16" s="61">
        <v>0</v>
      </c>
      <c r="M16" s="61">
        <v>0</v>
      </c>
      <c r="N16" s="61">
        <v>0</v>
      </c>
      <c r="O16" s="61">
        <v>0</v>
      </c>
      <c r="P16" s="101"/>
      <c r="Q16" s="59">
        <f t="shared" si="0"/>
        <v>0</v>
      </c>
    </row>
    <row r="17" spans="1:17" ht="12.75">
      <c r="A17" s="4">
        <f t="shared" si="1"/>
        <v>10</v>
      </c>
      <c r="B17" s="195" t="s">
        <v>72</v>
      </c>
      <c r="C17" s="61">
        <v>0</v>
      </c>
      <c r="D17" s="61">
        <v>0</v>
      </c>
      <c r="E17" s="61">
        <v>0</v>
      </c>
      <c r="F17" s="61">
        <v>0</v>
      </c>
      <c r="G17" s="61">
        <v>0</v>
      </c>
      <c r="H17" s="61">
        <v>0</v>
      </c>
      <c r="I17" s="61">
        <v>0</v>
      </c>
      <c r="J17" s="61">
        <v>0</v>
      </c>
      <c r="K17" s="61">
        <v>0</v>
      </c>
      <c r="L17" s="61">
        <v>0</v>
      </c>
      <c r="M17" s="61">
        <v>0</v>
      </c>
      <c r="N17" s="61">
        <v>0</v>
      </c>
      <c r="O17" s="61">
        <v>0</v>
      </c>
      <c r="P17" s="101"/>
      <c r="Q17" s="59">
        <f>SUM(C17:O17)</f>
        <v>0</v>
      </c>
    </row>
    <row r="18" spans="1:17" ht="12.75">
      <c r="A18" s="4">
        <f t="shared" si="1"/>
        <v>11</v>
      </c>
      <c r="B18" s="60" t="s">
        <v>55</v>
      </c>
      <c r="C18" s="61">
        <v>0</v>
      </c>
      <c r="D18" s="61">
        <v>0</v>
      </c>
      <c r="E18" s="61">
        <v>0</v>
      </c>
      <c r="F18" s="61">
        <v>0</v>
      </c>
      <c r="G18" s="61">
        <v>38000</v>
      </c>
      <c r="H18" s="61">
        <v>0</v>
      </c>
      <c r="I18" s="61">
        <v>0</v>
      </c>
      <c r="J18" s="61">
        <v>0</v>
      </c>
      <c r="K18" s="61">
        <v>0</v>
      </c>
      <c r="L18" s="61">
        <v>0</v>
      </c>
      <c r="M18" s="61">
        <v>0</v>
      </c>
      <c r="N18" s="61">
        <v>0</v>
      </c>
      <c r="O18" s="61">
        <v>0</v>
      </c>
      <c r="P18" s="101"/>
      <c r="Q18" s="59">
        <f t="shared" si="0"/>
        <v>38000</v>
      </c>
    </row>
    <row r="19" spans="1:17" ht="12.75">
      <c r="A19" s="4">
        <f t="shared" si="1"/>
        <v>12</v>
      </c>
      <c r="B19" s="60" t="s">
        <v>61</v>
      </c>
      <c r="C19" s="61">
        <v>-535</v>
      </c>
      <c r="D19" s="61">
        <v>-59</v>
      </c>
      <c r="E19" s="61">
        <v>0</v>
      </c>
      <c r="F19" s="61">
        <v>-161</v>
      </c>
      <c r="G19" s="61">
        <v>0</v>
      </c>
      <c r="H19" s="61">
        <v>-214</v>
      </c>
      <c r="I19" s="61">
        <v>0</v>
      </c>
      <c r="J19" s="61">
        <v>0</v>
      </c>
      <c r="K19" s="61">
        <v>0</v>
      </c>
      <c r="L19" s="61">
        <v>0</v>
      </c>
      <c r="M19" s="61">
        <v>0</v>
      </c>
      <c r="N19" s="61">
        <v>0</v>
      </c>
      <c r="O19" s="61">
        <v>0</v>
      </c>
      <c r="P19" s="101"/>
      <c r="Q19" s="59">
        <f t="shared" si="0"/>
        <v>-969</v>
      </c>
    </row>
    <row r="20" spans="1:17" ht="12.75">
      <c r="A20" s="4">
        <f t="shared" si="1"/>
        <v>13</v>
      </c>
      <c r="B20" s="60" t="s">
        <v>56</v>
      </c>
      <c r="C20" s="61">
        <v>0</v>
      </c>
      <c r="D20" s="61">
        <v>0</v>
      </c>
      <c r="E20" s="61">
        <v>0</v>
      </c>
      <c r="F20" s="61">
        <v>0</v>
      </c>
      <c r="G20" s="61">
        <v>0</v>
      </c>
      <c r="H20" s="61">
        <v>0</v>
      </c>
      <c r="I20" s="61">
        <v>0</v>
      </c>
      <c r="J20" s="61">
        <v>0</v>
      </c>
      <c r="K20" s="61">
        <v>0</v>
      </c>
      <c r="L20" s="61">
        <v>0</v>
      </c>
      <c r="M20" s="61">
        <v>0</v>
      </c>
      <c r="N20" s="61">
        <v>0</v>
      </c>
      <c r="O20" s="61">
        <v>0</v>
      </c>
      <c r="P20" s="101"/>
      <c r="Q20" s="59">
        <f t="shared" si="0"/>
        <v>0</v>
      </c>
    </row>
    <row r="21" spans="1:17" ht="12.75">
      <c r="A21" s="4">
        <f t="shared" si="1"/>
        <v>14</v>
      </c>
      <c r="B21" s="60" t="s">
        <v>62</v>
      </c>
      <c r="C21" s="61">
        <v>0</v>
      </c>
      <c r="D21" s="61">
        <v>0</v>
      </c>
      <c r="E21" s="61">
        <v>0</v>
      </c>
      <c r="F21" s="61">
        <v>0</v>
      </c>
      <c r="G21" s="61">
        <v>0</v>
      </c>
      <c r="H21" s="61">
        <v>0</v>
      </c>
      <c r="I21" s="61">
        <v>0</v>
      </c>
      <c r="J21" s="61">
        <v>0</v>
      </c>
      <c r="K21" s="61">
        <v>0</v>
      </c>
      <c r="L21" s="61">
        <v>0</v>
      </c>
      <c r="M21" s="61">
        <v>0</v>
      </c>
      <c r="N21" s="61">
        <v>0</v>
      </c>
      <c r="O21" s="61">
        <v>0</v>
      </c>
      <c r="P21" s="101"/>
      <c r="Q21" s="59">
        <f t="shared" si="0"/>
        <v>0</v>
      </c>
    </row>
    <row r="22" spans="1:17" ht="12.75">
      <c r="A22" s="4">
        <f t="shared" si="1"/>
        <v>15</v>
      </c>
      <c r="B22" s="60" t="s">
        <v>63</v>
      </c>
      <c r="C22" s="61">
        <v>0</v>
      </c>
      <c r="D22" s="61">
        <v>0</v>
      </c>
      <c r="E22" s="61">
        <v>0</v>
      </c>
      <c r="F22" s="61">
        <v>0</v>
      </c>
      <c r="G22" s="61">
        <v>0</v>
      </c>
      <c r="H22" s="61">
        <v>0</v>
      </c>
      <c r="I22" s="61">
        <v>0</v>
      </c>
      <c r="J22" s="61">
        <v>0</v>
      </c>
      <c r="K22" s="61">
        <v>0</v>
      </c>
      <c r="L22" s="61">
        <v>0</v>
      </c>
      <c r="M22" s="61">
        <v>0</v>
      </c>
      <c r="N22" s="61">
        <v>0</v>
      </c>
      <c r="O22" s="61">
        <v>0</v>
      </c>
      <c r="P22" s="101"/>
      <c r="Q22" s="59">
        <f t="shared" si="0"/>
        <v>0</v>
      </c>
    </row>
    <row r="23" spans="1:17" ht="12.75">
      <c r="A23" s="4">
        <f t="shared" si="1"/>
        <v>16</v>
      </c>
      <c r="B23" s="60" t="s">
        <v>303</v>
      </c>
      <c r="C23" s="61"/>
      <c r="D23" s="61">
        <v>80415</v>
      </c>
      <c r="E23" s="61">
        <v>-24164</v>
      </c>
      <c r="F23" s="61">
        <f>25400+3265</f>
        <v>28665</v>
      </c>
      <c r="G23" s="61">
        <v>-2889</v>
      </c>
      <c r="H23" s="61">
        <v>5461</v>
      </c>
      <c r="I23" s="61">
        <v>8555</v>
      </c>
      <c r="J23" s="61">
        <v>-6196</v>
      </c>
      <c r="K23" s="61">
        <v>1347</v>
      </c>
      <c r="L23" s="61">
        <v>205</v>
      </c>
      <c r="M23" s="61">
        <v>0</v>
      </c>
      <c r="N23" s="61">
        <v>0</v>
      </c>
      <c r="O23" s="61">
        <v>0</v>
      </c>
      <c r="P23" s="101"/>
      <c r="Q23" s="59">
        <f t="shared" si="0"/>
        <v>91399</v>
      </c>
    </row>
    <row r="24" spans="1:17" ht="12.75">
      <c r="A24" s="4">
        <f t="shared" si="1"/>
        <v>17</v>
      </c>
      <c r="B24" s="60" t="s">
        <v>302</v>
      </c>
      <c r="C24" s="61">
        <v>0</v>
      </c>
      <c r="D24" s="61">
        <v>0</v>
      </c>
      <c r="E24" s="61"/>
      <c r="F24" s="61">
        <v>0</v>
      </c>
      <c r="G24" s="61">
        <v>0</v>
      </c>
      <c r="H24" s="61">
        <v>0</v>
      </c>
      <c r="I24" s="61">
        <v>0</v>
      </c>
      <c r="J24" s="61">
        <v>0</v>
      </c>
      <c r="K24" s="61">
        <v>0</v>
      </c>
      <c r="L24" s="61">
        <v>0</v>
      </c>
      <c r="M24" s="61">
        <v>0</v>
      </c>
      <c r="N24" s="61">
        <v>0</v>
      </c>
      <c r="O24" s="61">
        <v>0</v>
      </c>
      <c r="P24" s="101"/>
      <c r="Q24" s="59">
        <f t="shared" si="0"/>
        <v>0</v>
      </c>
    </row>
    <row r="25" spans="1:17" ht="12.75">
      <c r="A25" s="4">
        <f t="shared" si="1"/>
        <v>18</v>
      </c>
      <c r="B25" s="60" t="s">
        <v>64</v>
      </c>
      <c r="C25" s="98"/>
      <c r="D25" s="98"/>
      <c r="E25" s="98"/>
      <c r="F25" s="98"/>
      <c r="G25" s="98"/>
      <c r="H25" s="61">
        <v>5500</v>
      </c>
      <c r="I25" s="98"/>
      <c r="J25" s="98"/>
      <c r="K25" s="98"/>
      <c r="L25" s="98"/>
      <c r="M25" s="98"/>
      <c r="N25" s="98"/>
      <c r="O25" s="98"/>
      <c r="P25" s="98"/>
      <c r="Q25" s="59">
        <f t="shared" si="0"/>
        <v>5500</v>
      </c>
    </row>
    <row r="26" spans="1:17" ht="12.75">
      <c r="A26" s="4">
        <f t="shared" si="1"/>
        <v>19</v>
      </c>
      <c r="B26" s="60" t="s">
        <v>57</v>
      </c>
      <c r="C26" s="61">
        <v>0</v>
      </c>
      <c r="D26" s="61">
        <v>0</v>
      </c>
      <c r="E26" s="61">
        <v>0</v>
      </c>
      <c r="F26" s="61">
        <v>0</v>
      </c>
      <c r="G26" s="61">
        <v>0</v>
      </c>
      <c r="H26" s="61">
        <v>0</v>
      </c>
      <c r="I26" s="61">
        <v>0</v>
      </c>
      <c r="J26" s="61">
        <v>0</v>
      </c>
      <c r="K26" s="61">
        <v>0</v>
      </c>
      <c r="L26" s="61">
        <v>0</v>
      </c>
      <c r="M26" s="61">
        <v>0</v>
      </c>
      <c r="N26" s="61">
        <v>0</v>
      </c>
      <c r="O26" s="61">
        <v>0</v>
      </c>
      <c r="P26" s="101"/>
      <c r="Q26" s="59">
        <f t="shared" si="0"/>
        <v>0</v>
      </c>
    </row>
    <row r="27" spans="1:17" ht="12.75">
      <c r="A27" s="4">
        <f t="shared" si="1"/>
        <v>20</v>
      </c>
      <c r="B27" s="60" t="s">
        <v>54</v>
      </c>
      <c r="C27" s="61">
        <v>0</v>
      </c>
      <c r="D27" s="61">
        <v>0</v>
      </c>
      <c r="E27" s="61">
        <v>0</v>
      </c>
      <c r="F27" s="61">
        <v>0</v>
      </c>
      <c r="G27" s="61">
        <v>0</v>
      </c>
      <c r="H27" s="61">
        <v>0</v>
      </c>
      <c r="I27" s="61">
        <v>0</v>
      </c>
      <c r="J27" s="61">
        <v>0</v>
      </c>
      <c r="K27" s="61">
        <v>0</v>
      </c>
      <c r="L27" s="61">
        <v>0</v>
      </c>
      <c r="M27" s="61">
        <v>0</v>
      </c>
      <c r="N27" s="61">
        <v>0</v>
      </c>
      <c r="O27" s="61">
        <v>0</v>
      </c>
      <c r="P27" s="101"/>
      <c r="Q27" s="59">
        <f t="shared" si="0"/>
        <v>0</v>
      </c>
    </row>
    <row r="28" spans="1:17" ht="12.75">
      <c r="A28" s="4">
        <f t="shared" si="1"/>
        <v>21</v>
      </c>
      <c r="B28" s="60" t="s">
        <v>30</v>
      </c>
      <c r="C28" s="98"/>
      <c r="D28" s="98"/>
      <c r="E28" s="98"/>
      <c r="F28" s="98"/>
      <c r="G28" s="98"/>
      <c r="H28" s="98"/>
      <c r="I28" s="61">
        <v>0</v>
      </c>
      <c r="J28" s="98"/>
      <c r="K28" s="98"/>
      <c r="L28" s="98"/>
      <c r="M28" s="98"/>
      <c r="N28" s="98"/>
      <c r="O28" s="98"/>
      <c r="P28" s="98"/>
      <c r="Q28" s="59">
        <f t="shared" si="0"/>
        <v>0</v>
      </c>
    </row>
    <row r="29" spans="1:17" ht="12.75">
      <c r="A29" s="4">
        <f t="shared" si="1"/>
        <v>22</v>
      </c>
      <c r="B29" s="62" t="s">
        <v>300</v>
      </c>
      <c r="C29" s="61">
        <v>-2977</v>
      </c>
      <c r="D29" s="61">
        <v>-1939</v>
      </c>
      <c r="E29" s="61">
        <v>1026</v>
      </c>
      <c r="F29" s="61">
        <v>-2469</v>
      </c>
      <c r="G29" s="61">
        <v>0</v>
      </c>
      <c r="H29" s="61">
        <v>-848</v>
      </c>
      <c r="I29" s="61">
        <v>-2551</v>
      </c>
      <c r="J29" s="61">
        <v>0</v>
      </c>
      <c r="K29" s="61">
        <v>0</v>
      </c>
      <c r="L29" s="61">
        <v>0</v>
      </c>
      <c r="M29" s="61">
        <v>0</v>
      </c>
      <c r="N29" s="61">
        <v>0</v>
      </c>
      <c r="O29" s="61">
        <v>0</v>
      </c>
      <c r="P29" s="101"/>
      <c r="Q29" s="59">
        <f t="shared" si="0"/>
        <v>-9758</v>
      </c>
    </row>
    <row r="30" spans="1:17" ht="12.75">
      <c r="A30" s="4">
        <f t="shared" si="1"/>
        <v>23</v>
      </c>
      <c r="B30" s="196" t="s">
        <v>486</v>
      </c>
      <c r="C30" s="61">
        <v>0</v>
      </c>
      <c r="D30" s="61">
        <v>0</v>
      </c>
      <c r="E30" s="61">
        <v>3471</v>
      </c>
      <c r="F30" s="61">
        <v>0</v>
      </c>
      <c r="G30" s="61">
        <v>0</v>
      </c>
      <c r="H30" s="61">
        <v>0</v>
      </c>
      <c r="I30" s="61">
        <v>0</v>
      </c>
      <c r="J30" s="61">
        <v>0</v>
      </c>
      <c r="K30" s="61">
        <v>0</v>
      </c>
      <c r="L30" s="61">
        <v>0</v>
      </c>
      <c r="M30" s="61">
        <v>0</v>
      </c>
      <c r="N30" s="61">
        <v>0</v>
      </c>
      <c r="O30" s="61">
        <v>0</v>
      </c>
      <c r="P30" s="61"/>
      <c r="Q30" s="59">
        <f>SUM(C30:P30)</f>
        <v>3471</v>
      </c>
    </row>
    <row r="31" spans="1:17" ht="12.75">
      <c r="A31" s="4">
        <f t="shared" si="1"/>
        <v>24</v>
      </c>
      <c r="B31" s="196" t="s">
        <v>40</v>
      </c>
      <c r="C31" s="61">
        <v>0</v>
      </c>
      <c r="D31" s="61">
        <v>0</v>
      </c>
      <c r="E31" s="61">
        <v>0</v>
      </c>
      <c r="F31" s="61">
        <v>0</v>
      </c>
      <c r="G31" s="61">
        <v>0</v>
      </c>
      <c r="H31" s="61">
        <v>0</v>
      </c>
      <c r="I31" s="61">
        <v>0</v>
      </c>
      <c r="J31" s="61">
        <v>0</v>
      </c>
      <c r="K31" s="61">
        <v>0</v>
      </c>
      <c r="L31" s="61">
        <v>0</v>
      </c>
      <c r="M31" s="61">
        <v>0</v>
      </c>
      <c r="N31" s="61">
        <v>0</v>
      </c>
      <c r="O31" s="61">
        <v>0</v>
      </c>
      <c r="P31" s="61"/>
      <c r="Q31" s="59">
        <f>SUM(C31:P31)</f>
        <v>0</v>
      </c>
    </row>
    <row r="32" spans="1:17" ht="12.75">
      <c r="A32" s="4">
        <f t="shared" si="1"/>
        <v>25</v>
      </c>
      <c r="B32" s="196" t="s">
        <v>40</v>
      </c>
      <c r="C32" s="61">
        <v>0</v>
      </c>
      <c r="D32" s="61">
        <v>0</v>
      </c>
      <c r="E32" s="61">
        <v>0</v>
      </c>
      <c r="F32" s="61">
        <v>0</v>
      </c>
      <c r="G32" s="61">
        <v>0</v>
      </c>
      <c r="H32" s="61">
        <v>0</v>
      </c>
      <c r="I32" s="61">
        <v>0</v>
      </c>
      <c r="J32" s="61">
        <v>0</v>
      </c>
      <c r="K32" s="61">
        <v>0</v>
      </c>
      <c r="L32" s="61">
        <v>0</v>
      </c>
      <c r="M32" s="61">
        <v>0</v>
      </c>
      <c r="N32" s="61">
        <v>0</v>
      </c>
      <c r="O32" s="61">
        <v>0</v>
      </c>
      <c r="P32" s="61"/>
      <c r="Q32" s="59">
        <f>SUM(C32:P32)</f>
        <v>0</v>
      </c>
    </row>
    <row r="33" spans="1:17" s="3" customFormat="1" ht="12.75">
      <c r="A33" s="4">
        <f t="shared" si="1"/>
        <v>26</v>
      </c>
      <c r="B33" s="63" t="s">
        <v>324</v>
      </c>
      <c r="C33" s="59">
        <f>SUM(C10,C13:C32)</f>
        <v>-59935</v>
      </c>
      <c r="D33" s="59">
        <f aca="true" t="shared" si="2" ref="D33:Q33">SUM(D10,D13:D32)</f>
        <v>41092</v>
      </c>
      <c r="E33" s="59">
        <f t="shared" si="2"/>
        <v>19536</v>
      </c>
      <c r="F33" s="59">
        <f t="shared" si="2"/>
        <v>-25921</v>
      </c>
      <c r="G33" s="59">
        <f t="shared" si="2"/>
        <v>35111</v>
      </c>
      <c r="H33" s="59">
        <f t="shared" si="2"/>
        <v>-46376</v>
      </c>
      <c r="I33" s="59">
        <f t="shared" si="2"/>
        <v>-46545</v>
      </c>
      <c r="J33" s="59">
        <f t="shared" si="2"/>
        <v>-6196</v>
      </c>
      <c r="K33" s="59">
        <f>SUM(K10,K13:K32)</f>
        <v>1347</v>
      </c>
      <c r="L33" s="59">
        <f>SUM(L10,L13:L32)</f>
        <v>205</v>
      </c>
      <c r="M33" s="59">
        <f t="shared" si="2"/>
        <v>0</v>
      </c>
      <c r="N33" s="59">
        <f t="shared" si="2"/>
        <v>0</v>
      </c>
      <c r="O33" s="59">
        <f t="shared" si="2"/>
        <v>0</v>
      </c>
      <c r="P33" s="59">
        <f t="shared" si="2"/>
        <v>0</v>
      </c>
      <c r="Q33" s="59">
        <f t="shared" si="2"/>
        <v>-87682</v>
      </c>
    </row>
    <row r="34" spans="1:17" ht="12.75">
      <c r="A34" s="4"/>
      <c r="B34" s="222" t="s">
        <v>406</v>
      </c>
      <c r="C34" s="223">
        <f>Support!$E$3</f>
        <v>-59934.57000000001</v>
      </c>
      <c r="D34" s="223">
        <f>Support!$E$4</f>
        <v>41092.22000000003</v>
      </c>
      <c r="E34" s="223">
        <f>Support!$E$5</f>
        <v>19536.45000000001</v>
      </c>
      <c r="F34" s="223">
        <f>Support!$E$6</f>
        <v>-25921.469999999972</v>
      </c>
      <c r="G34" s="223">
        <f>Support!$E$7</f>
        <v>35110.76000000001</v>
      </c>
      <c r="H34" s="223">
        <f>Support!$E$8</f>
        <v>-46375.610000000044</v>
      </c>
      <c r="I34" s="223">
        <f>Support!$E$9</f>
        <v>-46545.01999999996</v>
      </c>
      <c r="J34" s="223">
        <f>Support!$E$10</f>
        <v>-6196.0500000000175</v>
      </c>
      <c r="K34" s="223">
        <f>Support!$E$11</f>
        <v>1346.7100000000064</v>
      </c>
      <c r="L34" s="223">
        <f>Support!$E$12</f>
        <v>204.71000000000004</v>
      </c>
      <c r="M34" s="223">
        <f>Support!$E$13</f>
        <v>0</v>
      </c>
      <c r="N34" s="223">
        <f>Support!$E$14</f>
        <v>0</v>
      </c>
      <c r="O34" s="223">
        <f>Support!$E$15</f>
        <v>0</v>
      </c>
      <c r="P34" s="223">
        <f>Support!$E$16</f>
        <v>0</v>
      </c>
      <c r="Q34" s="223">
        <f>Support!$E$17</f>
        <v>-87681.86999999994</v>
      </c>
    </row>
    <row r="35" spans="1:17" ht="12.75">
      <c r="A35" s="4"/>
      <c r="B35" s="224" t="s">
        <v>399</v>
      </c>
      <c r="C35" s="225">
        <f>C33-C34</f>
        <v>-0.4299999999930151</v>
      </c>
      <c r="D35" s="225">
        <f aca="true" t="shared" si="3" ref="D35:Q35">D33-D34</f>
        <v>-0.22000000003026798</v>
      </c>
      <c r="E35" s="225">
        <f t="shared" si="3"/>
        <v>-0.45000000001164153</v>
      </c>
      <c r="F35" s="225">
        <f t="shared" si="3"/>
        <v>0.4699999999720603</v>
      </c>
      <c r="G35" s="225">
        <f t="shared" si="3"/>
        <v>0.23999999999068677</v>
      </c>
      <c r="H35" s="225">
        <f t="shared" si="3"/>
        <v>-0.3899999999557622</v>
      </c>
      <c r="I35" s="225">
        <f t="shared" si="3"/>
        <v>0.01999999996041879</v>
      </c>
      <c r="J35" s="225">
        <f t="shared" si="3"/>
        <v>0.0500000000174623</v>
      </c>
      <c r="K35" s="225">
        <f t="shared" si="3"/>
        <v>0.28999999999359716</v>
      </c>
      <c r="L35" s="225">
        <f t="shared" si="3"/>
        <v>0.2899999999999636</v>
      </c>
      <c r="M35" s="225">
        <f t="shared" si="3"/>
        <v>0</v>
      </c>
      <c r="N35" s="225">
        <f t="shared" si="3"/>
        <v>0</v>
      </c>
      <c r="O35" s="225">
        <f t="shared" si="3"/>
        <v>0</v>
      </c>
      <c r="P35" s="225">
        <f t="shared" si="3"/>
        <v>0</v>
      </c>
      <c r="Q35" s="225">
        <f t="shared" si="3"/>
        <v>-0.13000000006286427</v>
      </c>
    </row>
    <row r="36" spans="1:17" ht="12.75">
      <c r="A36" s="4"/>
      <c r="B36" s="28"/>
      <c r="C36" s="28"/>
      <c r="D36" s="28"/>
      <c r="E36" s="28"/>
      <c r="F36" s="28"/>
      <c r="G36" s="28"/>
      <c r="H36" s="28"/>
      <c r="I36" s="28"/>
      <c r="J36" s="3"/>
      <c r="K36" s="178"/>
      <c r="L36" s="3"/>
      <c r="M36" s="178"/>
      <c r="N36" s="3"/>
      <c r="O36" s="178"/>
      <c r="P36" s="3"/>
      <c r="Q36" s="28"/>
    </row>
    <row r="37" spans="1:17" ht="12.75">
      <c r="A37" s="4"/>
      <c r="B37" s="179" t="s">
        <v>357</v>
      </c>
      <c r="C37" s="179"/>
      <c r="D37" s="179"/>
      <c r="E37" s="179"/>
      <c r="F37" s="179"/>
      <c r="G37" s="179"/>
      <c r="H37" s="179"/>
      <c r="I37" s="179"/>
      <c r="J37" s="3"/>
      <c r="K37" s="178"/>
      <c r="L37" s="3"/>
      <c r="M37" s="178"/>
      <c r="N37" s="3"/>
      <c r="O37" s="178"/>
      <c r="P37" s="3"/>
      <c r="Q37" s="28"/>
    </row>
    <row r="38" spans="1:17" ht="12.75">
      <c r="A38" s="4"/>
      <c r="B38" s="180"/>
      <c r="C38" s="192"/>
      <c r="D38" s="192"/>
      <c r="E38" s="192"/>
      <c r="F38" s="192"/>
      <c r="G38" s="192"/>
      <c r="H38" s="192"/>
      <c r="I38" s="192"/>
      <c r="J38" s="181"/>
      <c r="K38" s="182"/>
      <c r="L38" s="181"/>
      <c r="M38" s="182"/>
      <c r="N38" s="181"/>
      <c r="O38" s="182"/>
      <c r="P38" s="181"/>
      <c r="Q38" s="183"/>
    </row>
    <row r="39" spans="1:17" ht="12.75">
      <c r="A39" s="4"/>
      <c r="B39" s="184"/>
      <c r="C39" s="193"/>
      <c r="D39" s="193"/>
      <c r="E39" s="193"/>
      <c r="F39" s="193"/>
      <c r="G39" s="193"/>
      <c r="H39" s="193"/>
      <c r="I39" s="193"/>
      <c r="J39" s="185"/>
      <c r="K39" s="186"/>
      <c r="L39" s="185"/>
      <c r="M39" s="186"/>
      <c r="N39" s="185"/>
      <c r="O39" s="186"/>
      <c r="P39" s="185"/>
      <c r="Q39" s="187"/>
    </row>
    <row r="40" spans="1:17" ht="12.75">
      <c r="A40" s="4"/>
      <c r="B40" s="184"/>
      <c r="C40" s="193"/>
      <c r="D40" s="193"/>
      <c r="E40" s="193"/>
      <c r="F40" s="193"/>
      <c r="G40" s="193"/>
      <c r="H40" s="193"/>
      <c r="I40" s="193"/>
      <c r="J40" s="185"/>
      <c r="K40" s="186"/>
      <c r="L40" s="185"/>
      <c r="M40" s="186"/>
      <c r="N40" s="185"/>
      <c r="O40" s="186"/>
      <c r="P40" s="185"/>
      <c r="Q40" s="187"/>
    </row>
    <row r="41" spans="1:17" ht="12.75">
      <c r="A41" s="4"/>
      <c r="B41" s="184"/>
      <c r="C41" s="193"/>
      <c r="D41" s="193"/>
      <c r="E41" s="193"/>
      <c r="F41" s="193"/>
      <c r="G41" s="193"/>
      <c r="H41" s="193"/>
      <c r="I41" s="193"/>
      <c r="J41" s="185"/>
      <c r="K41" s="186"/>
      <c r="L41" s="185"/>
      <c r="M41" s="186"/>
      <c r="N41" s="185"/>
      <c r="O41" s="186"/>
      <c r="P41" s="185"/>
      <c r="Q41" s="187"/>
    </row>
    <row r="42" spans="1:17" ht="12.75">
      <c r="A42" s="4"/>
      <c r="B42" s="188"/>
      <c r="C42" s="194"/>
      <c r="D42" s="194"/>
      <c r="E42" s="194"/>
      <c r="F42" s="194"/>
      <c r="G42" s="194"/>
      <c r="H42" s="194"/>
      <c r="I42" s="194"/>
      <c r="J42" s="189"/>
      <c r="K42" s="190"/>
      <c r="L42" s="189"/>
      <c r="M42" s="190"/>
      <c r="N42" s="189"/>
      <c r="O42" s="190"/>
      <c r="P42" s="189"/>
      <c r="Q42" s="191"/>
    </row>
    <row r="43" spans="3:14" ht="12.75">
      <c r="C43" s="66"/>
      <c r="D43" s="66"/>
      <c r="E43" s="66"/>
      <c r="F43" s="66"/>
      <c r="G43" s="66"/>
      <c r="H43" s="66"/>
      <c r="I43" s="66"/>
      <c r="J43" s="66"/>
      <c r="K43" s="66"/>
      <c r="L43" s="66"/>
      <c r="M43" s="66"/>
      <c r="N43" s="66"/>
    </row>
    <row r="46" spans="2:17" ht="12.75">
      <c r="B46" s="172" t="str">
        <f>Headers!A6</f>
        <v>Reconciliation from 2015-16 to 2016-17</v>
      </c>
      <c r="C46" s="229"/>
      <c r="D46" s="229"/>
      <c r="E46" s="229"/>
      <c r="F46" s="229"/>
      <c r="G46" s="229"/>
      <c r="H46" s="229"/>
      <c r="I46" s="229"/>
      <c r="J46" s="229"/>
      <c r="K46" s="229"/>
      <c r="L46" s="229"/>
      <c r="M46" s="229"/>
      <c r="N46" s="230" t="s">
        <v>403</v>
      </c>
      <c r="O46" s="229"/>
      <c r="P46" s="229"/>
      <c r="Q46" s="231"/>
    </row>
    <row r="47" spans="2:17" ht="12.75">
      <c r="B47" s="57"/>
      <c r="C47" s="232" t="s">
        <v>32</v>
      </c>
      <c r="D47" s="232" t="s">
        <v>33</v>
      </c>
      <c r="E47" s="232" t="s">
        <v>34</v>
      </c>
      <c r="F47" s="232" t="s">
        <v>35</v>
      </c>
      <c r="G47" s="232" t="s">
        <v>36</v>
      </c>
      <c r="H47" s="232" t="s">
        <v>37</v>
      </c>
      <c r="I47" s="232" t="s">
        <v>38</v>
      </c>
      <c r="J47" s="232" t="s">
        <v>39</v>
      </c>
      <c r="K47" s="232" t="s">
        <v>40</v>
      </c>
      <c r="L47" s="232" t="s">
        <v>73</v>
      </c>
      <c r="M47" s="232" t="s">
        <v>41</v>
      </c>
      <c r="N47" s="230" t="s">
        <v>404</v>
      </c>
      <c r="O47" s="232" t="s">
        <v>405</v>
      </c>
      <c r="P47" s="232" t="s">
        <v>42</v>
      </c>
      <c r="Q47" s="233" t="s">
        <v>1</v>
      </c>
    </row>
    <row r="48" spans="2:17" ht="12.75">
      <c r="B48" s="57"/>
      <c r="C48" s="232" t="s">
        <v>43</v>
      </c>
      <c r="D48" s="232" t="s">
        <v>44</v>
      </c>
      <c r="E48" s="232" t="s">
        <v>45</v>
      </c>
      <c r="F48" s="232" t="s">
        <v>46</v>
      </c>
      <c r="G48" s="232" t="s">
        <v>47</v>
      </c>
      <c r="H48" s="232" t="s">
        <v>48</v>
      </c>
      <c r="I48" s="232" t="s">
        <v>49</v>
      </c>
      <c r="J48" s="232" t="s">
        <v>50</v>
      </c>
      <c r="K48" s="232" t="s">
        <v>51</v>
      </c>
      <c r="L48" s="232" t="s">
        <v>74</v>
      </c>
      <c r="M48" s="232" t="s">
        <v>52</v>
      </c>
      <c r="N48" s="230" t="s">
        <v>141</v>
      </c>
      <c r="O48" s="230" t="s">
        <v>120</v>
      </c>
      <c r="P48" s="232" t="s">
        <v>53</v>
      </c>
      <c r="Q48" s="233"/>
    </row>
    <row r="49" spans="1:17" s="52" customFormat="1" ht="12.75">
      <c r="A49" s="56"/>
      <c r="B49" s="214" t="s">
        <v>375</v>
      </c>
      <c r="C49" s="97"/>
      <c r="D49" s="97"/>
      <c r="E49" s="97"/>
      <c r="F49" s="97"/>
      <c r="G49" s="97"/>
      <c r="H49" s="97"/>
      <c r="I49" s="97"/>
      <c r="J49" s="97"/>
      <c r="K49" s="97"/>
      <c r="L49" s="97"/>
      <c r="M49" s="97"/>
      <c r="N49" s="97"/>
      <c r="O49" s="97"/>
      <c r="P49" s="97"/>
      <c r="Q49" s="97"/>
    </row>
    <row r="50" spans="1:17" ht="12.75">
      <c r="A50" s="56">
        <v>1</v>
      </c>
      <c r="B50" s="218" t="s">
        <v>314</v>
      </c>
      <c r="C50" s="58">
        <v>0</v>
      </c>
      <c r="D50" s="58">
        <v>0</v>
      </c>
      <c r="E50" s="58">
        <v>0</v>
      </c>
      <c r="F50" s="58">
        <v>0</v>
      </c>
      <c r="G50" s="58">
        <v>0</v>
      </c>
      <c r="H50" s="58">
        <v>0</v>
      </c>
      <c r="I50" s="58">
        <v>0</v>
      </c>
      <c r="J50" s="58">
        <v>0</v>
      </c>
      <c r="K50" s="58">
        <v>0</v>
      </c>
      <c r="L50" s="58">
        <v>0</v>
      </c>
      <c r="M50" s="58">
        <v>0</v>
      </c>
      <c r="N50" s="58">
        <v>0</v>
      </c>
      <c r="O50" s="58">
        <v>0</v>
      </c>
      <c r="P50" s="99"/>
      <c r="Q50" s="59">
        <f aca="true" t="shared" si="4" ref="Q50:Q72">SUM(C50:O50)</f>
        <v>0</v>
      </c>
    </row>
    <row r="51" spans="1:17" ht="12.75">
      <c r="A51" s="56">
        <v>2</v>
      </c>
      <c r="B51" s="218" t="s">
        <v>315</v>
      </c>
      <c r="C51" s="58">
        <v>0</v>
      </c>
      <c r="D51" s="58">
        <v>0</v>
      </c>
      <c r="E51" s="58">
        <v>0</v>
      </c>
      <c r="F51" s="58">
        <v>0</v>
      </c>
      <c r="G51" s="58">
        <v>0</v>
      </c>
      <c r="H51" s="58">
        <v>0</v>
      </c>
      <c r="I51" s="58">
        <v>0</v>
      </c>
      <c r="J51" s="58">
        <v>0</v>
      </c>
      <c r="K51" s="58">
        <v>0</v>
      </c>
      <c r="L51" s="58">
        <v>0</v>
      </c>
      <c r="M51" s="58">
        <v>0</v>
      </c>
      <c r="N51" s="58">
        <v>0</v>
      </c>
      <c r="O51" s="58">
        <v>0</v>
      </c>
      <c r="P51" s="99"/>
      <c r="Q51" s="59">
        <f t="shared" si="4"/>
        <v>0</v>
      </c>
    </row>
    <row r="52" spans="1:17" ht="12.75">
      <c r="A52" s="56">
        <v>3</v>
      </c>
      <c r="B52" s="218" t="s">
        <v>58</v>
      </c>
      <c r="C52" s="67">
        <v>0</v>
      </c>
      <c r="D52" s="67">
        <v>0</v>
      </c>
      <c r="E52" s="67">
        <v>0</v>
      </c>
      <c r="F52" s="67">
        <v>0</v>
      </c>
      <c r="G52" s="67">
        <v>0</v>
      </c>
      <c r="H52" s="67">
        <v>0</v>
      </c>
      <c r="I52" s="67">
        <v>0</v>
      </c>
      <c r="J52" s="67">
        <v>0</v>
      </c>
      <c r="K52" s="67">
        <v>0</v>
      </c>
      <c r="L52" s="67">
        <v>0</v>
      </c>
      <c r="M52" s="67">
        <v>0</v>
      </c>
      <c r="N52" s="67">
        <v>0</v>
      </c>
      <c r="O52" s="67">
        <v>0</v>
      </c>
      <c r="P52" s="100"/>
      <c r="Q52" s="59">
        <f t="shared" si="4"/>
        <v>0</v>
      </c>
    </row>
    <row r="53" spans="1:17" ht="12.75">
      <c r="A53" s="56">
        <f>A52+1</f>
        <v>4</v>
      </c>
      <c r="B53" s="219" t="s">
        <v>65</v>
      </c>
      <c r="C53" s="61">
        <v>0</v>
      </c>
      <c r="D53" s="61">
        <v>0</v>
      </c>
      <c r="E53" s="61">
        <v>0</v>
      </c>
      <c r="F53" s="61">
        <v>0</v>
      </c>
      <c r="G53" s="61">
        <v>0</v>
      </c>
      <c r="H53" s="61">
        <v>0</v>
      </c>
      <c r="I53" s="61">
        <v>0</v>
      </c>
      <c r="J53" s="61">
        <v>0</v>
      </c>
      <c r="K53" s="61">
        <v>0</v>
      </c>
      <c r="L53" s="61">
        <v>0</v>
      </c>
      <c r="M53" s="61">
        <v>0</v>
      </c>
      <c r="N53" s="61">
        <v>0</v>
      </c>
      <c r="O53" s="61">
        <v>0</v>
      </c>
      <c r="P53" s="101"/>
      <c r="Q53" s="59">
        <f t="shared" si="4"/>
        <v>0</v>
      </c>
    </row>
    <row r="54" spans="1:17" s="52" customFormat="1" ht="12.75">
      <c r="A54" s="4"/>
      <c r="B54" s="212" t="s">
        <v>376</v>
      </c>
      <c r="C54" s="97"/>
      <c r="D54" s="97"/>
      <c r="E54" s="97"/>
      <c r="F54" s="97"/>
      <c r="G54" s="97"/>
      <c r="H54" s="97"/>
      <c r="I54" s="97"/>
      <c r="J54" s="97"/>
      <c r="K54" s="97"/>
      <c r="L54" s="97"/>
      <c r="M54" s="97"/>
      <c r="N54" s="97"/>
      <c r="O54" s="97"/>
      <c r="P54" s="101"/>
      <c r="Q54" s="101"/>
    </row>
    <row r="55" spans="1:17" s="52" customFormat="1" ht="12.75">
      <c r="A55" s="4">
        <f>A53+1</f>
        <v>5</v>
      </c>
      <c r="B55" s="213" t="s">
        <v>377</v>
      </c>
      <c r="C55" s="58">
        <v>0</v>
      </c>
      <c r="D55" s="58">
        <v>0</v>
      </c>
      <c r="E55" s="58">
        <v>0</v>
      </c>
      <c r="F55" s="58">
        <v>0</v>
      </c>
      <c r="G55" s="58">
        <v>0</v>
      </c>
      <c r="H55" s="58">
        <v>0</v>
      </c>
      <c r="I55" s="58">
        <v>0</v>
      </c>
      <c r="J55" s="58">
        <v>0</v>
      </c>
      <c r="K55" s="58">
        <v>0</v>
      </c>
      <c r="L55" s="58">
        <v>0</v>
      </c>
      <c r="M55" s="58">
        <v>0</v>
      </c>
      <c r="N55" s="58">
        <v>0</v>
      </c>
      <c r="O55" s="58">
        <v>0</v>
      </c>
      <c r="P55" s="101"/>
      <c r="Q55" s="215">
        <f>SUM(C55:O55)</f>
        <v>0</v>
      </c>
    </row>
    <row r="56" spans="1:17" ht="12.75">
      <c r="A56" s="4">
        <f>A55+1</f>
        <v>6</v>
      </c>
      <c r="B56" s="213" t="s">
        <v>378</v>
      </c>
      <c r="C56" s="61">
        <v>0</v>
      </c>
      <c r="D56" s="61">
        <v>0</v>
      </c>
      <c r="E56" s="61">
        <v>0</v>
      </c>
      <c r="F56" s="61">
        <v>0</v>
      </c>
      <c r="G56" s="61">
        <v>0</v>
      </c>
      <c r="H56" s="61">
        <v>0</v>
      </c>
      <c r="I56" s="61">
        <v>0</v>
      </c>
      <c r="J56" s="61">
        <v>0</v>
      </c>
      <c r="K56" s="61">
        <v>0</v>
      </c>
      <c r="L56" s="61">
        <v>0</v>
      </c>
      <c r="M56" s="61">
        <v>0</v>
      </c>
      <c r="N56" s="61">
        <v>0</v>
      </c>
      <c r="O56" s="61">
        <v>0</v>
      </c>
      <c r="P56" s="101"/>
      <c r="Q56" s="59">
        <f>SUM(C56:O56)</f>
        <v>0</v>
      </c>
    </row>
    <row r="57" spans="1:17" ht="12.75">
      <c r="A57" s="4">
        <f aca="true" t="shared" si="5" ref="A57:A76">A56+1</f>
        <v>7</v>
      </c>
      <c r="B57" s="60" t="s">
        <v>59</v>
      </c>
      <c r="C57" s="61">
        <v>0</v>
      </c>
      <c r="D57" s="61">
        <v>0</v>
      </c>
      <c r="E57" s="61">
        <v>0</v>
      </c>
      <c r="F57" s="61">
        <v>0</v>
      </c>
      <c r="G57" s="61">
        <v>0</v>
      </c>
      <c r="H57" s="61">
        <v>0</v>
      </c>
      <c r="I57" s="61">
        <v>0</v>
      </c>
      <c r="J57" s="61">
        <v>0</v>
      </c>
      <c r="K57" s="61">
        <v>0</v>
      </c>
      <c r="L57" s="61">
        <v>0</v>
      </c>
      <c r="M57" s="61">
        <v>0</v>
      </c>
      <c r="N57" s="61">
        <v>0</v>
      </c>
      <c r="O57" s="61">
        <v>0</v>
      </c>
      <c r="P57" s="101"/>
      <c r="Q57" s="59">
        <f t="shared" si="4"/>
        <v>0</v>
      </c>
    </row>
    <row r="58" spans="1:17" ht="12.75">
      <c r="A58" s="4">
        <f t="shared" si="5"/>
        <v>8</v>
      </c>
      <c r="B58" s="60" t="s">
        <v>60</v>
      </c>
      <c r="C58" s="61">
        <v>0</v>
      </c>
      <c r="D58" s="61">
        <v>0</v>
      </c>
      <c r="E58" s="61">
        <v>0</v>
      </c>
      <c r="F58" s="61">
        <v>0</v>
      </c>
      <c r="G58" s="61">
        <v>0</v>
      </c>
      <c r="H58" s="61">
        <v>0</v>
      </c>
      <c r="I58" s="61">
        <v>0</v>
      </c>
      <c r="J58" s="61">
        <v>0</v>
      </c>
      <c r="K58" s="61">
        <v>0</v>
      </c>
      <c r="L58" s="61">
        <v>0</v>
      </c>
      <c r="M58" s="61">
        <v>0</v>
      </c>
      <c r="N58" s="61">
        <v>0</v>
      </c>
      <c r="O58" s="61">
        <v>0</v>
      </c>
      <c r="P58" s="101"/>
      <c r="Q58" s="59">
        <f t="shared" si="4"/>
        <v>0</v>
      </c>
    </row>
    <row r="59" spans="1:17" ht="12.75">
      <c r="A59" s="4">
        <f t="shared" si="5"/>
        <v>9</v>
      </c>
      <c r="B59" s="60" t="s">
        <v>31</v>
      </c>
      <c r="C59" s="61">
        <v>0</v>
      </c>
      <c r="D59" s="61">
        <v>0</v>
      </c>
      <c r="E59" s="61">
        <v>0</v>
      </c>
      <c r="F59" s="61">
        <v>0</v>
      </c>
      <c r="G59" s="61">
        <v>0</v>
      </c>
      <c r="H59" s="61">
        <v>0</v>
      </c>
      <c r="I59" s="61">
        <v>0</v>
      </c>
      <c r="J59" s="61">
        <v>0</v>
      </c>
      <c r="K59" s="61">
        <v>0</v>
      </c>
      <c r="L59" s="61">
        <v>0</v>
      </c>
      <c r="M59" s="61">
        <v>0</v>
      </c>
      <c r="N59" s="61">
        <v>0</v>
      </c>
      <c r="O59" s="61">
        <v>0</v>
      </c>
      <c r="P59" s="101"/>
      <c r="Q59" s="59">
        <f t="shared" si="4"/>
        <v>0</v>
      </c>
    </row>
    <row r="60" spans="1:17" ht="12.75">
      <c r="A60" s="4">
        <f t="shared" si="5"/>
        <v>10</v>
      </c>
      <c r="B60" s="195" t="s">
        <v>72</v>
      </c>
      <c r="C60" s="61">
        <v>0</v>
      </c>
      <c r="D60" s="61">
        <v>0</v>
      </c>
      <c r="E60" s="61">
        <v>0</v>
      </c>
      <c r="F60" s="61">
        <v>0</v>
      </c>
      <c r="G60" s="61">
        <v>0</v>
      </c>
      <c r="H60" s="61">
        <v>0</v>
      </c>
      <c r="I60" s="61">
        <v>0</v>
      </c>
      <c r="J60" s="61">
        <v>0</v>
      </c>
      <c r="K60" s="61">
        <v>0</v>
      </c>
      <c r="L60" s="61">
        <v>0</v>
      </c>
      <c r="M60" s="61">
        <v>0</v>
      </c>
      <c r="N60" s="61">
        <v>0</v>
      </c>
      <c r="O60" s="61">
        <v>0</v>
      </c>
      <c r="P60" s="101"/>
      <c r="Q60" s="59">
        <f t="shared" si="4"/>
        <v>0</v>
      </c>
    </row>
    <row r="61" spans="1:17" ht="12.75">
      <c r="A61" s="4">
        <f t="shared" si="5"/>
        <v>11</v>
      </c>
      <c r="B61" s="60" t="s">
        <v>55</v>
      </c>
      <c r="C61" s="61">
        <v>0</v>
      </c>
      <c r="D61" s="61">
        <v>0</v>
      </c>
      <c r="E61" s="61">
        <v>0</v>
      </c>
      <c r="F61" s="61">
        <v>0</v>
      </c>
      <c r="G61" s="61">
        <v>0</v>
      </c>
      <c r="H61" s="61">
        <v>0</v>
      </c>
      <c r="I61" s="61">
        <v>0</v>
      </c>
      <c r="J61" s="61">
        <v>0</v>
      </c>
      <c r="K61" s="61">
        <v>0</v>
      </c>
      <c r="L61" s="61">
        <v>0</v>
      </c>
      <c r="M61" s="61">
        <v>0</v>
      </c>
      <c r="N61" s="61">
        <v>0</v>
      </c>
      <c r="O61" s="61">
        <v>0</v>
      </c>
      <c r="P61" s="101"/>
      <c r="Q61" s="59">
        <f t="shared" si="4"/>
        <v>0</v>
      </c>
    </row>
    <row r="62" spans="1:17" ht="12.75">
      <c r="A62" s="4">
        <f t="shared" si="5"/>
        <v>12</v>
      </c>
      <c r="B62" s="60" t="s">
        <v>61</v>
      </c>
      <c r="C62" s="61">
        <v>0</v>
      </c>
      <c r="D62" s="61">
        <v>0</v>
      </c>
      <c r="E62" s="61">
        <v>0</v>
      </c>
      <c r="F62" s="61">
        <v>0</v>
      </c>
      <c r="G62" s="61">
        <v>0</v>
      </c>
      <c r="H62" s="61">
        <v>0</v>
      </c>
      <c r="I62" s="61">
        <v>0</v>
      </c>
      <c r="J62" s="61">
        <v>0</v>
      </c>
      <c r="K62" s="61">
        <v>0</v>
      </c>
      <c r="L62" s="61">
        <v>0</v>
      </c>
      <c r="M62" s="61">
        <v>0</v>
      </c>
      <c r="N62" s="61">
        <v>0</v>
      </c>
      <c r="O62" s="61">
        <v>0</v>
      </c>
      <c r="P62" s="101"/>
      <c r="Q62" s="59">
        <f t="shared" si="4"/>
        <v>0</v>
      </c>
    </row>
    <row r="63" spans="1:17" ht="12.75">
      <c r="A63" s="4">
        <f t="shared" si="5"/>
        <v>13</v>
      </c>
      <c r="B63" s="60" t="s">
        <v>56</v>
      </c>
      <c r="C63" s="61">
        <v>0</v>
      </c>
      <c r="D63" s="61">
        <v>0</v>
      </c>
      <c r="E63" s="61">
        <v>0</v>
      </c>
      <c r="F63" s="61">
        <v>0</v>
      </c>
      <c r="G63" s="61">
        <v>0</v>
      </c>
      <c r="H63" s="61">
        <v>0</v>
      </c>
      <c r="I63" s="61">
        <v>0</v>
      </c>
      <c r="J63" s="61">
        <v>0</v>
      </c>
      <c r="K63" s="61">
        <v>0</v>
      </c>
      <c r="L63" s="61">
        <v>0</v>
      </c>
      <c r="M63" s="61">
        <v>0</v>
      </c>
      <c r="N63" s="61">
        <v>0</v>
      </c>
      <c r="O63" s="61">
        <v>0</v>
      </c>
      <c r="P63" s="101"/>
      <c r="Q63" s="59">
        <f t="shared" si="4"/>
        <v>0</v>
      </c>
    </row>
    <row r="64" spans="1:17" ht="12.75">
      <c r="A64" s="4">
        <f t="shared" si="5"/>
        <v>14</v>
      </c>
      <c r="B64" s="60" t="s">
        <v>62</v>
      </c>
      <c r="C64" s="61">
        <v>0</v>
      </c>
      <c r="D64" s="61">
        <v>0</v>
      </c>
      <c r="E64" s="61">
        <v>0</v>
      </c>
      <c r="F64" s="61">
        <v>0</v>
      </c>
      <c r="G64" s="61">
        <v>0</v>
      </c>
      <c r="H64" s="61">
        <v>0</v>
      </c>
      <c r="I64" s="61">
        <v>0</v>
      </c>
      <c r="J64" s="61">
        <v>0</v>
      </c>
      <c r="K64" s="61">
        <v>0</v>
      </c>
      <c r="L64" s="61">
        <v>0</v>
      </c>
      <c r="M64" s="61">
        <v>0</v>
      </c>
      <c r="N64" s="61">
        <v>0</v>
      </c>
      <c r="O64" s="61">
        <v>0</v>
      </c>
      <c r="P64" s="101"/>
      <c r="Q64" s="59">
        <f t="shared" si="4"/>
        <v>0</v>
      </c>
    </row>
    <row r="65" spans="1:17" ht="12.75">
      <c r="A65" s="4">
        <f t="shared" si="5"/>
        <v>15</v>
      </c>
      <c r="B65" s="60" t="s">
        <v>63</v>
      </c>
      <c r="C65" s="61">
        <v>0</v>
      </c>
      <c r="D65" s="61">
        <v>0</v>
      </c>
      <c r="E65" s="61">
        <v>0</v>
      </c>
      <c r="F65" s="61">
        <v>0</v>
      </c>
      <c r="G65" s="61">
        <v>0</v>
      </c>
      <c r="H65" s="61">
        <v>0</v>
      </c>
      <c r="I65" s="61">
        <v>0</v>
      </c>
      <c r="J65" s="61">
        <v>0</v>
      </c>
      <c r="K65" s="61">
        <v>0</v>
      </c>
      <c r="L65" s="61">
        <v>0</v>
      </c>
      <c r="M65" s="61">
        <v>0</v>
      </c>
      <c r="N65" s="61">
        <v>0</v>
      </c>
      <c r="O65" s="61">
        <v>0</v>
      </c>
      <c r="P65" s="101"/>
      <c r="Q65" s="59">
        <f t="shared" si="4"/>
        <v>0</v>
      </c>
    </row>
    <row r="66" spans="1:17" ht="12.75">
      <c r="A66" s="4">
        <f t="shared" si="5"/>
        <v>16</v>
      </c>
      <c r="B66" s="60" t="s">
        <v>303</v>
      </c>
      <c r="C66" s="61">
        <v>0</v>
      </c>
      <c r="D66" s="61">
        <v>0</v>
      </c>
      <c r="E66" s="61">
        <v>0</v>
      </c>
      <c r="F66" s="61">
        <v>0</v>
      </c>
      <c r="G66" s="61">
        <v>0</v>
      </c>
      <c r="H66" s="61">
        <v>0</v>
      </c>
      <c r="I66" s="61">
        <v>0</v>
      </c>
      <c r="J66" s="61">
        <v>0</v>
      </c>
      <c r="K66" s="61">
        <v>0</v>
      </c>
      <c r="L66" s="61">
        <v>0</v>
      </c>
      <c r="M66" s="61">
        <v>0</v>
      </c>
      <c r="N66" s="61">
        <v>0</v>
      </c>
      <c r="O66" s="61">
        <v>0</v>
      </c>
      <c r="P66" s="101"/>
      <c r="Q66" s="59">
        <f t="shared" si="4"/>
        <v>0</v>
      </c>
    </row>
    <row r="67" spans="1:17" ht="12.75">
      <c r="A67" s="4">
        <f t="shared" si="5"/>
        <v>17</v>
      </c>
      <c r="B67" s="60" t="s">
        <v>302</v>
      </c>
      <c r="C67" s="61">
        <v>0</v>
      </c>
      <c r="D67" s="61">
        <v>0</v>
      </c>
      <c r="E67" s="61">
        <v>0</v>
      </c>
      <c r="F67" s="61">
        <v>0</v>
      </c>
      <c r="G67" s="61">
        <v>0</v>
      </c>
      <c r="H67" s="61">
        <v>0</v>
      </c>
      <c r="I67" s="61">
        <v>0</v>
      </c>
      <c r="J67" s="61">
        <v>0</v>
      </c>
      <c r="K67" s="61">
        <v>0</v>
      </c>
      <c r="L67" s="61">
        <v>0</v>
      </c>
      <c r="M67" s="61">
        <v>0</v>
      </c>
      <c r="N67" s="61">
        <v>0</v>
      </c>
      <c r="O67" s="61">
        <v>0</v>
      </c>
      <c r="P67" s="101"/>
      <c r="Q67" s="59">
        <f t="shared" si="4"/>
        <v>0</v>
      </c>
    </row>
    <row r="68" spans="1:17" ht="12.75">
      <c r="A68" s="4">
        <f t="shared" si="5"/>
        <v>18</v>
      </c>
      <c r="B68" s="60" t="s">
        <v>64</v>
      </c>
      <c r="C68" s="98"/>
      <c r="D68" s="98"/>
      <c r="E68" s="98"/>
      <c r="F68" s="98"/>
      <c r="G68" s="98"/>
      <c r="H68" s="61">
        <v>0</v>
      </c>
      <c r="I68" s="98"/>
      <c r="J68" s="98"/>
      <c r="K68" s="98"/>
      <c r="L68" s="98"/>
      <c r="M68" s="98"/>
      <c r="N68" s="98"/>
      <c r="O68" s="98"/>
      <c r="P68" s="98"/>
      <c r="Q68" s="59">
        <f t="shared" si="4"/>
        <v>0</v>
      </c>
    </row>
    <row r="69" spans="1:17" ht="12.75">
      <c r="A69" s="4">
        <f t="shared" si="5"/>
        <v>19</v>
      </c>
      <c r="B69" s="60" t="s">
        <v>57</v>
      </c>
      <c r="C69" s="61">
        <v>0</v>
      </c>
      <c r="D69" s="61">
        <v>0</v>
      </c>
      <c r="E69" s="61">
        <v>0</v>
      </c>
      <c r="F69" s="61">
        <v>0</v>
      </c>
      <c r="G69" s="61">
        <v>0</v>
      </c>
      <c r="H69" s="61">
        <v>0</v>
      </c>
      <c r="I69" s="61">
        <v>0</v>
      </c>
      <c r="J69" s="61">
        <v>0</v>
      </c>
      <c r="K69" s="61">
        <v>0</v>
      </c>
      <c r="L69" s="61">
        <v>0</v>
      </c>
      <c r="M69" s="61">
        <v>0</v>
      </c>
      <c r="N69" s="61">
        <v>0</v>
      </c>
      <c r="O69" s="61">
        <v>0</v>
      </c>
      <c r="P69" s="101"/>
      <c r="Q69" s="59">
        <f t="shared" si="4"/>
        <v>0</v>
      </c>
    </row>
    <row r="70" spans="1:17" ht="12.75">
      <c r="A70" s="4">
        <f t="shared" si="5"/>
        <v>20</v>
      </c>
      <c r="B70" s="60" t="s">
        <v>54</v>
      </c>
      <c r="C70" s="61">
        <v>0</v>
      </c>
      <c r="D70" s="61">
        <v>0</v>
      </c>
      <c r="E70" s="61">
        <v>0</v>
      </c>
      <c r="F70" s="61">
        <v>0</v>
      </c>
      <c r="G70" s="61">
        <v>0</v>
      </c>
      <c r="H70" s="61">
        <v>0</v>
      </c>
      <c r="I70" s="61">
        <v>0</v>
      </c>
      <c r="J70" s="61">
        <v>0</v>
      </c>
      <c r="K70" s="61">
        <v>0</v>
      </c>
      <c r="L70" s="61">
        <v>0</v>
      </c>
      <c r="M70" s="61">
        <v>0</v>
      </c>
      <c r="N70" s="61">
        <v>0</v>
      </c>
      <c r="O70" s="61">
        <v>0</v>
      </c>
      <c r="P70" s="101"/>
      <c r="Q70" s="59">
        <f t="shared" si="4"/>
        <v>0</v>
      </c>
    </row>
    <row r="71" spans="1:17" ht="12.75">
      <c r="A71" s="4">
        <f t="shared" si="5"/>
        <v>21</v>
      </c>
      <c r="B71" s="60" t="s">
        <v>30</v>
      </c>
      <c r="C71" s="98"/>
      <c r="D71" s="98"/>
      <c r="E71" s="98"/>
      <c r="F71" s="98"/>
      <c r="G71" s="98"/>
      <c r="H71" s="98"/>
      <c r="I71" s="61">
        <v>0</v>
      </c>
      <c r="J71" s="98"/>
      <c r="K71" s="98"/>
      <c r="L71" s="98"/>
      <c r="M71" s="98"/>
      <c r="N71" s="98"/>
      <c r="O71" s="98"/>
      <c r="P71" s="98"/>
      <c r="Q71" s="59">
        <f t="shared" si="4"/>
        <v>0</v>
      </c>
    </row>
    <row r="72" spans="1:17" ht="12.75">
      <c r="A72" s="4">
        <f t="shared" si="5"/>
        <v>22</v>
      </c>
      <c r="B72" s="62" t="s">
        <v>300</v>
      </c>
      <c r="C72" s="61">
        <v>0</v>
      </c>
      <c r="D72" s="61">
        <v>0</v>
      </c>
      <c r="E72" s="61">
        <v>0</v>
      </c>
      <c r="F72" s="61">
        <v>0</v>
      </c>
      <c r="G72" s="61">
        <v>0</v>
      </c>
      <c r="H72" s="61">
        <v>0</v>
      </c>
      <c r="I72" s="61">
        <v>0</v>
      </c>
      <c r="J72" s="61">
        <v>0</v>
      </c>
      <c r="K72" s="61">
        <v>0</v>
      </c>
      <c r="L72" s="61">
        <v>0</v>
      </c>
      <c r="M72" s="61">
        <v>0</v>
      </c>
      <c r="N72" s="61">
        <v>0</v>
      </c>
      <c r="O72" s="61">
        <v>0</v>
      </c>
      <c r="P72" s="101"/>
      <c r="Q72" s="59">
        <f t="shared" si="4"/>
        <v>0</v>
      </c>
    </row>
    <row r="73" spans="1:17" ht="12.75">
      <c r="A73" s="4">
        <f t="shared" si="5"/>
        <v>23</v>
      </c>
      <c r="B73" s="196" t="s">
        <v>40</v>
      </c>
      <c r="C73" s="61">
        <v>0</v>
      </c>
      <c r="D73" s="61">
        <v>0</v>
      </c>
      <c r="E73" s="61">
        <v>0</v>
      </c>
      <c r="F73" s="61">
        <v>0</v>
      </c>
      <c r="G73" s="61">
        <v>0</v>
      </c>
      <c r="H73" s="61">
        <v>0</v>
      </c>
      <c r="I73" s="61">
        <v>0</v>
      </c>
      <c r="J73" s="61">
        <v>0</v>
      </c>
      <c r="K73" s="61">
        <v>0</v>
      </c>
      <c r="L73" s="61">
        <v>0</v>
      </c>
      <c r="M73" s="61">
        <v>0</v>
      </c>
      <c r="N73" s="61">
        <v>0</v>
      </c>
      <c r="O73" s="61">
        <v>0</v>
      </c>
      <c r="P73" s="61"/>
      <c r="Q73" s="59">
        <f>SUM(C73:P73)</f>
        <v>0</v>
      </c>
    </row>
    <row r="74" spans="1:17" ht="12.75">
      <c r="A74" s="4">
        <f t="shared" si="5"/>
        <v>24</v>
      </c>
      <c r="B74" s="196" t="s">
        <v>40</v>
      </c>
      <c r="C74" s="61">
        <v>0</v>
      </c>
      <c r="D74" s="61">
        <v>0</v>
      </c>
      <c r="E74" s="61">
        <v>0</v>
      </c>
      <c r="F74" s="61">
        <v>0</v>
      </c>
      <c r="G74" s="61">
        <v>0</v>
      </c>
      <c r="H74" s="61">
        <v>0</v>
      </c>
      <c r="I74" s="61">
        <v>0</v>
      </c>
      <c r="J74" s="61">
        <v>0</v>
      </c>
      <c r="K74" s="61">
        <v>0</v>
      </c>
      <c r="L74" s="61">
        <v>0</v>
      </c>
      <c r="M74" s="61">
        <v>0</v>
      </c>
      <c r="N74" s="61">
        <v>0</v>
      </c>
      <c r="O74" s="61">
        <v>0</v>
      </c>
      <c r="P74" s="61"/>
      <c r="Q74" s="59">
        <f>SUM(C74:P74)</f>
        <v>0</v>
      </c>
    </row>
    <row r="75" spans="1:17" ht="12.75">
      <c r="A75" s="4">
        <f t="shared" si="5"/>
        <v>25</v>
      </c>
      <c r="B75" s="196" t="s">
        <v>40</v>
      </c>
      <c r="C75" s="61">
        <v>0</v>
      </c>
      <c r="D75" s="61">
        <v>0</v>
      </c>
      <c r="E75" s="61">
        <v>0</v>
      </c>
      <c r="F75" s="61">
        <v>0</v>
      </c>
      <c r="G75" s="61">
        <v>0</v>
      </c>
      <c r="H75" s="61">
        <v>0</v>
      </c>
      <c r="I75" s="61">
        <v>0</v>
      </c>
      <c r="J75" s="61">
        <v>0</v>
      </c>
      <c r="K75" s="61">
        <v>0</v>
      </c>
      <c r="L75" s="61">
        <v>0</v>
      </c>
      <c r="M75" s="61">
        <v>0</v>
      </c>
      <c r="N75" s="61">
        <v>0</v>
      </c>
      <c r="O75" s="61">
        <v>0</v>
      </c>
      <c r="P75" s="61"/>
      <c r="Q75" s="59">
        <f>SUM(C75:P75)</f>
        <v>0</v>
      </c>
    </row>
    <row r="76" spans="1:17" ht="12.75">
      <c r="A76" s="4">
        <f t="shared" si="5"/>
        <v>26</v>
      </c>
      <c r="B76" s="63" t="s">
        <v>324</v>
      </c>
      <c r="C76" s="59">
        <f>SUM(C53,C56:C75)</f>
        <v>0</v>
      </c>
      <c r="D76" s="59">
        <f aca="true" t="shared" si="6" ref="D76:Q76">SUM(D53,D56:D75)</f>
        <v>0</v>
      </c>
      <c r="E76" s="59">
        <f t="shared" si="6"/>
        <v>0</v>
      </c>
      <c r="F76" s="59">
        <f t="shared" si="6"/>
        <v>0</v>
      </c>
      <c r="G76" s="59">
        <f t="shared" si="6"/>
        <v>0</v>
      </c>
      <c r="H76" s="59">
        <f t="shared" si="6"/>
        <v>0</v>
      </c>
      <c r="I76" s="59">
        <f t="shared" si="6"/>
        <v>0</v>
      </c>
      <c r="J76" s="59">
        <f t="shared" si="6"/>
        <v>0</v>
      </c>
      <c r="K76" s="59">
        <f>SUM(K53,K56:K75)</f>
        <v>0</v>
      </c>
      <c r="L76" s="59">
        <f>SUM(L53,L56:L75)</f>
        <v>0</v>
      </c>
      <c r="M76" s="59">
        <f t="shared" si="6"/>
        <v>0</v>
      </c>
      <c r="N76" s="59">
        <f t="shared" si="6"/>
        <v>0</v>
      </c>
      <c r="O76" s="59">
        <f t="shared" si="6"/>
        <v>0</v>
      </c>
      <c r="P76" s="59">
        <f t="shared" si="6"/>
        <v>0</v>
      </c>
      <c r="Q76" s="59">
        <f t="shared" si="6"/>
        <v>0</v>
      </c>
    </row>
    <row r="77" spans="1:17" ht="12.75">
      <c r="A77" s="4"/>
      <c r="B77" s="222" t="s">
        <v>402</v>
      </c>
      <c r="C77" s="223">
        <f>Support!$H$3</f>
        <v>1351.3800000000047</v>
      </c>
      <c r="D77" s="223">
        <f>Support!$H$4</f>
        <v>1008.1699999999837</v>
      </c>
      <c r="E77" s="223">
        <f>Support!$H$5</f>
        <v>849.2000000000116</v>
      </c>
      <c r="F77" s="223">
        <f>Support!$H$6</f>
        <v>209</v>
      </c>
      <c r="G77" s="223">
        <f>Support!$H$7</f>
        <v>254.5</v>
      </c>
      <c r="H77" s="223">
        <f>Support!$H$8</f>
        <v>419.070000000007</v>
      </c>
      <c r="I77" s="223">
        <f>Support!$H$9</f>
        <v>402.29999999998836</v>
      </c>
      <c r="J77" s="223">
        <f>Support!$H$10</f>
        <v>28.429999999993015</v>
      </c>
      <c r="K77" s="223">
        <f>Support!$H$11</f>
        <v>-150.1600000000035</v>
      </c>
      <c r="L77" s="223">
        <f>Support!$H$12</f>
        <v>-127.71000000000004</v>
      </c>
      <c r="M77" s="223">
        <f>Support!$H$13</f>
        <v>0</v>
      </c>
      <c r="N77" s="223">
        <f>Support!$H$14</f>
        <v>0</v>
      </c>
      <c r="O77" s="223">
        <f>Support!$H$15</f>
        <v>0</v>
      </c>
      <c r="P77" s="223">
        <f>Support!$H$16</f>
        <v>0</v>
      </c>
      <c r="Q77" s="223">
        <f>Support!$H$17</f>
        <v>4244.179999999985</v>
      </c>
    </row>
    <row r="78" spans="1:17" ht="12.75">
      <c r="A78" s="4"/>
      <c r="B78" s="224" t="s">
        <v>399</v>
      </c>
      <c r="C78" s="225">
        <f>C76-C77</f>
        <v>-1351.3800000000047</v>
      </c>
      <c r="D78" s="225">
        <f aca="true" t="shared" si="7" ref="D78:Q78">D76-D77</f>
        <v>-1008.1699999999837</v>
      </c>
      <c r="E78" s="225">
        <f t="shared" si="7"/>
        <v>-849.2000000000116</v>
      </c>
      <c r="F78" s="225">
        <f t="shared" si="7"/>
        <v>-209</v>
      </c>
      <c r="G78" s="225">
        <f t="shared" si="7"/>
        <v>-254.5</v>
      </c>
      <c r="H78" s="225">
        <f t="shared" si="7"/>
        <v>-419.070000000007</v>
      </c>
      <c r="I78" s="225">
        <f t="shared" si="7"/>
        <v>-402.29999999998836</v>
      </c>
      <c r="J78" s="225">
        <f t="shared" si="7"/>
        <v>-28.429999999993015</v>
      </c>
      <c r="K78" s="225">
        <f t="shared" si="7"/>
        <v>150.1600000000035</v>
      </c>
      <c r="L78" s="225">
        <f t="shared" si="7"/>
        <v>127.71000000000004</v>
      </c>
      <c r="M78" s="225">
        <f t="shared" si="7"/>
        <v>0</v>
      </c>
      <c r="N78" s="225">
        <f t="shared" si="7"/>
        <v>0</v>
      </c>
      <c r="O78" s="225">
        <f t="shared" si="7"/>
        <v>0</v>
      </c>
      <c r="P78" s="225">
        <f t="shared" si="7"/>
        <v>0</v>
      </c>
      <c r="Q78" s="225">
        <f t="shared" si="7"/>
        <v>-4244.179999999985</v>
      </c>
    </row>
    <row r="79" spans="1:17" ht="12.75">
      <c r="A79" s="4"/>
      <c r="B79" s="28"/>
      <c r="C79" s="28"/>
      <c r="D79" s="28"/>
      <c r="E79" s="28"/>
      <c r="F79" s="28"/>
      <c r="G79" s="28"/>
      <c r="H79" s="28"/>
      <c r="I79" s="28"/>
      <c r="J79" s="3"/>
      <c r="K79" s="178"/>
      <c r="L79" s="3"/>
      <c r="M79" s="178"/>
      <c r="N79" s="3"/>
      <c r="O79" s="178"/>
      <c r="P79" s="3"/>
      <c r="Q79" s="28"/>
    </row>
    <row r="80" spans="1:17" ht="12.75">
      <c r="A80" s="4"/>
      <c r="B80" s="179" t="s">
        <v>357</v>
      </c>
      <c r="C80" s="179"/>
      <c r="D80" s="179"/>
      <c r="E80" s="179"/>
      <c r="F80" s="179"/>
      <c r="G80" s="179"/>
      <c r="H80" s="179"/>
      <c r="I80" s="179"/>
      <c r="J80" s="3"/>
      <c r="K80" s="178"/>
      <c r="L80" s="3"/>
      <c r="M80" s="178"/>
      <c r="N80" s="3"/>
      <c r="O80" s="178"/>
      <c r="P80" s="3"/>
      <c r="Q80" s="28"/>
    </row>
    <row r="81" spans="1:17" ht="12.75">
      <c r="A81" s="4"/>
      <c r="B81" s="180"/>
      <c r="C81" s="192"/>
      <c r="D81" s="192"/>
      <c r="E81" s="192"/>
      <c r="F81" s="192"/>
      <c r="G81" s="192"/>
      <c r="H81" s="192"/>
      <c r="I81" s="192"/>
      <c r="J81" s="181"/>
      <c r="K81" s="182"/>
      <c r="L81" s="181"/>
      <c r="M81" s="182"/>
      <c r="N81" s="181"/>
      <c r="O81" s="182"/>
      <c r="P81" s="181"/>
      <c r="Q81" s="183"/>
    </row>
    <row r="82" spans="1:17" ht="12.75">
      <c r="A82" s="4"/>
      <c r="B82" s="184"/>
      <c r="C82" s="193"/>
      <c r="D82" s="193"/>
      <c r="E82" s="193"/>
      <c r="F82" s="193"/>
      <c r="G82" s="193"/>
      <c r="H82" s="193"/>
      <c r="I82" s="193"/>
      <c r="J82" s="185"/>
      <c r="K82" s="186"/>
      <c r="L82" s="185"/>
      <c r="M82" s="186"/>
      <c r="N82" s="185"/>
      <c r="O82" s="186"/>
      <c r="P82" s="185"/>
      <c r="Q82" s="187"/>
    </row>
    <row r="83" spans="1:17" ht="12.75">
      <c r="A83" s="4"/>
      <c r="B83" s="184"/>
      <c r="C83" s="193"/>
      <c r="D83" s="193"/>
      <c r="E83" s="193"/>
      <c r="F83" s="193"/>
      <c r="G83" s="193"/>
      <c r="H83" s="193"/>
      <c r="I83" s="193"/>
      <c r="J83" s="185"/>
      <c r="K83" s="186"/>
      <c r="L83" s="185"/>
      <c r="M83" s="186"/>
      <c r="N83" s="185"/>
      <c r="O83" s="186"/>
      <c r="P83" s="185"/>
      <c r="Q83" s="187"/>
    </row>
    <row r="84" spans="1:17" ht="12.75">
      <c r="A84" s="4"/>
      <c r="B84" s="184"/>
      <c r="C84" s="193"/>
      <c r="D84" s="193"/>
      <c r="E84" s="193"/>
      <c r="F84" s="193"/>
      <c r="G84" s="193"/>
      <c r="H84" s="193"/>
      <c r="I84" s="193"/>
      <c r="J84" s="185"/>
      <c r="K84" s="186"/>
      <c r="L84" s="185"/>
      <c r="M84" s="186"/>
      <c r="N84" s="185"/>
      <c r="O84" s="186"/>
      <c r="P84" s="185"/>
      <c r="Q84" s="187"/>
    </row>
    <row r="85" spans="1:17" ht="12.75">
      <c r="A85" s="4"/>
      <c r="B85" s="188"/>
      <c r="C85" s="194"/>
      <c r="D85" s="194"/>
      <c r="E85" s="194"/>
      <c r="F85" s="194"/>
      <c r="G85" s="194"/>
      <c r="H85" s="194"/>
      <c r="I85" s="194"/>
      <c r="J85" s="189"/>
      <c r="K85" s="190"/>
      <c r="L85" s="189"/>
      <c r="M85" s="190"/>
      <c r="N85" s="189"/>
      <c r="O85" s="190"/>
      <c r="P85" s="189"/>
      <c r="Q85" s="191"/>
    </row>
    <row r="86" spans="3:14" ht="12.75">
      <c r="C86" s="66"/>
      <c r="D86" s="66"/>
      <c r="E86" s="66"/>
      <c r="F86" s="66"/>
      <c r="G86" s="66"/>
      <c r="H86" s="66"/>
      <c r="I86" s="66"/>
      <c r="J86" s="66"/>
      <c r="K86" s="66"/>
      <c r="L86" s="66"/>
      <c r="M86" s="66"/>
      <c r="N86" s="66"/>
    </row>
  </sheetData>
  <sheetProtection password="CAD5" sheet="1"/>
  <conditionalFormatting sqref="I63:J67 I20:J24 J69:J70 C26:G27 H20:H27 J26:J27 C1:J2 C69:G70 H63:H70 B38:J42 B81:J85 Q63:Q72 Q20:Q29 I26:I29 J29 C29:H29 B63:B72 I69:I72 C72:H72 J72 C20:G24 C63:G67 A43:J45 A1:A5 A7:J10 C14:J19 B14:B29 B30:J33 A50:J53 B57:J62 B73:J76 B2:B5 M73:Q76 M57:Q62 M50:Q53 M30:Q33 M14:Q19 M7:Q10 M72:P72 M29:P29 M81:Q85 M38:Q45 M1:Q2 M26:P27 M69:P70 M20:P24 M63:P67 A46:B48">
    <cfRule type="expression" priority="36" dxfId="0" stopIfTrue="1">
      <formula>CELL("protect",A1)</formula>
    </cfRule>
  </conditionalFormatting>
  <conditionalFormatting sqref="A36:A42 B36:J37 A79:A85 B79:J80 M79:Q80 M36:Q37">
    <cfRule type="expression" priority="37" dxfId="0" stopIfTrue="1">
      <formula>CELL("protect",$A$1)</formula>
    </cfRule>
  </conditionalFormatting>
  <conditionalFormatting sqref="B1">
    <cfRule type="expression" priority="35" dxfId="0" stopIfTrue="1">
      <formula>CELL("protect",B1)</formula>
    </cfRule>
  </conditionalFormatting>
  <conditionalFormatting sqref="A6">
    <cfRule type="expression" priority="34" dxfId="0" stopIfTrue="1">
      <formula>CELL("protect",A6)</formula>
    </cfRule>
  </conditionalFormatting>
  <conditionalFormatting sqref="B6">
    <cfRule type="expression" priority="33" dxfId="0" stopIfTrue="1">
      <formula>CELL("protect",B6)</formula>
    </cfRule>
  </conditionalFormatting>
  <conditionalFormatting sqref="P11:Q13">
    <cfRule type="expression" priority="32" dxfId="0" stopIfTrue="1">
      <formula>CELL("protect",P11)</formula>
    </cfRule>
  </conditionalFormatting>
  <conditionalFormatting sqref="A11:B13 A14:A33">
    <cfRule type="expression" priority="31" dxfId="0" stopIfTrue="1">
      <formula>CELL("protect",A11)</formula>
    </cfRule>
  </conditionalFormatting>
  <conditionalFormatting sqref="C12:J12 M12:O12">
    <cfRule type="expression" priority="30" dxfId="0" stopIfTrue="1">
      <formula>CELL("protect",C12)</formula>
    </cfRule>
  </conditionalFormatting>
  <conditionalFormatting sqref="C13:J13 M13:O13">
    <cfRule type="expression" priority="29" dxfId="0" stopIfTrue="1">
      <formula>CELL("protect",C13)</formula>
    </cfRule>
  </conditionalFormatting>
  <conditionalFormatting sqref="A34:A35">
    <cfRule type="expression" priority="27" dxfId="0" stopIfTrue="1">
      <formula>CELL("protect",$A$1)</formula>
    </cfRule>
  </conditionalFormatting>
  <conditionalFormatting sqref="A49">
    <cfRule type="expression" priority="26" dxfId="0" stopIfTrue="1">
      <formula>CELL("protect",A49)</formula>
    </cfRule>
  </conditionalFormatting>
  <conditionalFormatting sqref="B49">
    <cfRule type="expression" priority="25" dxfId="0" stopIfTrue="1">
      <formula>CELL("protect",B49)</formula>
    </cfRule>
  </conditionalFormatting>
  <conditionalFormatting sqref="P54:Q56">
    <cfRule type="expression" priority="24" dxfId="0" stopIfTrue="1">
      <formula>CELL("protect",P54)</formula>
    </cfRule>
  </conditionalFormatting>
  <conditionalFormatting sqref="A54:B56 A57:A76">
    <cfRule type="expression" priority="23" dxfId="0" stopIfTrue="1">
      <formula>CELL("protect",A54)</formula>
    </cfRule>
  </conditionalFormatting>
  <conditionalFormatting sqref="C55:J55 M55:O55">
    <cfRule type="expression" priority="22" dxfId="0" stopIfTrue="1">
      <formula>CELL("protect",C55)</formula>
    </cfRule>
  </conditionalFormatting>
  <conditionalFormatting sqref="C56:J56 M56:O56">
    <cfRule type="expression" priority="21" dxfId="0" stopIfTrue="1">
      <formula>CELL("protect",C56)</formula>
    </cfRule>
  </conditionalFormatting>
  <conditionalFormatting sqref="A77:A78">
    <cfRule type="expression" priority="19" dxfId="0" stopIfTrue="1">
      <formula>CELL("protect",$A$1)</formula>
    </cfRule>
  </conditionalFormatting>
  <conditionalFormatting sqref="K50:L53 K7:L10 K72:L76 K29:L33 K81:L85 K38:L45 K1:L2 K26:L27 K69:L70 K14:L24 K57:L67">
    <cfRule type="expression" priority="17" dxfId="0" stopIfTrue="1">
      <formula>CELL("protect",K1)</formula>
    </cfRule>
  </conditionalFormatting>
  <conditionalFormatting sqref="K79:L80 K36:L37">
    <cfRule type="expression" priority="18" dxfId="0" stopIfTrue="1">
      <formula>CELL("protect",$A$1)</formula>
    </cfRule>
  </conditionalFormatting>
  <conditionalFormatting sqref="K12:L12">
    <cfRule type="expression" priority="16" dxfId="0" stopIfTrue="1">
      <formula>CELL("protect",K12)</formula>
    </cfRule>
  </conditionalFormatting>
  <conditionalFormatting sqref="K13:L13">
    <cfRule type="expression" priority="15" dxfId="0" stopIfTrue="1">
      <formula>CELL("protect",K13)</formula>
    </cfRule>
  </conditionalFormatting>
  <conditionalFormatting sqref="K55:L55">
    <cfRule type="expression" priority="13" dxfId="0" stopIfTrue="1">
      <formula>CELL("protect",K55)</formula>
    </cfRule>
  </conditionalFormatting>
  <conditionalFormatting sqref="K56:L56">
    <cfRule type="expression" priority="12" dxfId="0" stopIfTrue="1">
      <formula>CELL("protect",K56)</formula>
    </cfRule>
  </conditionalFormatting>
  <conditionalFormatting sqref="C3:K5 N3:Q5">
    <cfRule type="expression" priority="10" dxfId="0" stopIfTrue="1">
      <formula>CELL("protect",C3)</formula>
    </cfRule>
  </conditionalFormatting>
  <conditionalFormatting sqref="L3:M5">
    <cfRule type="expression" priority="9" dxfId="0" stopIfTrue="1">
      <formula>CELL("protect",L3)</formula>
    </cfRule>
  </conditionalFormatting>
  <conditionalFormatting sqref="B34:B35">
    <cfRule type="expression" priority="6" dxfId="0" stopIfTrue="1">
      <formula>CELL("protect",$A$1)</formula>
    </cfRule>
  </conditionalFormatting>
  <conditionalFormatting sqref="C34:Q35">
    <cfRule type="expression" priority="5" dxfId="0" stopIfTrue="1">
      <formula>CELL("protect",$A$1)</formula>
    </cfRule>
  </conditionalFormatting>
  <conditionalFormatting sqref="B77:B78">
    <cfRule type="expression" priority="4" dxfId="0" stopIfTrue="1">
      <formula>CELL("protect",$A$1)</formula>
    </cfRule>
  </conditionalFormatting>
  <conditionalFormatting sqref="C77:Q78">
    <cfRule type="expression" priority="3" dxfId="0" stopIfTrue="1">
      <formula>CELL("protect",$A$1)</formula>
    </cfRule>
  </conditionalFormatting>
  <conditionalFormatting sqref="C46:K48 N46:Q48">
    <cfRule type="expression" priority="2" dxfId="0" stopIfTrue="1">
      <formula>CELL("protect",C46)</formula>
    </cfRule>
  </conditionalFormatting>
  <conditionalFormatting sqref="L46:M48">
    <cfRule type="expression" priority="1" dxfId="0" stopIfTrue="1">
      <formula>CELL("protect",L46)</formula>
    </cfRule>
  </conditionalFormatting>
  <printOptions/>
  <pageMargins left="0.5" right="0.5" top="0.8" bottom="0.31" header="0.44" footer="0"/>
  <pageSetup blackAndWhite="1" fitToHeight="0" fitToWidth="1" horizontalDpi="600" verticalDpi="600" orientation="landscape" scale="46"/>
  <headerFooter alignWithMargins="0">
    <oddHeader>&amp;C&amp;16Detail of Changes in Support Functions From Prior Year</oddHeader>
  </headerFooter>
  <rowBreaks count="1" manualBreakCount="1">
    <brk id="4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H32" sqref="H32"/>
    </sheetView>
  </sheetViews>
  <sheetFormatPr defaultColWidth="9.140625" defaultRowHeight="12.75"/>
  <cols>
    <col min="1" max="1" width="3.421875" style="3" customWidth="1"/>
    <col min="2" max="2" width="7.7109375" style="3" customWidth="1"/>
    <col min="3" max="3" width="32.140625" style="3" customWidth="1"/>
    <col min="4" max="4" width="15.421875" style="3" bestFit="1" customWidth="1"/>
    <col min="5" max="5" width="15.421875" style="161" customWidth="1"/>
    <col min="6" max="6" width="15.421875" style="3" customWidth="1"/>
    <col min="7" max="7" width="10.421875" style="3" bestFit="1" customWidth="1"/>
    <col min="8" max="8" width="15.140625" style="13" bestFit="1" customWidth="1"/>
    <col min="9" max="9" width="14.421875" style="3" bestFit="1" customWidth="1"/>
    <col min="10" max="10" width="11.00390625" style="3" customWidth="1"/>
    <col min="11" max="16384" width="11.421875" style="3" customWidth="1"/>
  </cols>
  <sheetData>
    <row r="1" spans="3:7" ht="15.75">
      <c r="C1" s="221" t="str">
        <f>Contact!B4</f>
        <v>Tahquamenon Area Schools</v>
      </c>
      <c r="F1" s="12"/>
      <c r="G1" s="12"/>
    </row>
    <row r="3" spans="1:10" ht="38.25">
      <c r="A3" s="40"/>
      <c r="B3" s="156" t="s">
        <v>117</v>
      </c>
      <c r="C3" s="156"/>
      <c r="D3" s="173" t="str">
        <f>Headers!A1</f>
        <v>Preliminary Actual
2014-15</v>
      </c>
      <c r="E3" s="173" t="str">
        <f>Headers!B1</f>
        <v>Budgeted
2015-16 </v>
      </c>
      <c r="F3" s="156" t="s">
        <v>159</v>
      </c>
      <c r="G3" s="156" t="s">
        <v>160</v>
      </c>
      <c r="H3" s="173" t="str">
        <f>Headers!C1</f>
        <v>Estimated
2016-17</v>
      </c>
      <c r="I3" s="156" t="s">
        <v>159</v>
      </c>
      <c r="J3" s="156" t="s">
        <v>160</v>
      </c>
    </row>
    <row r="4" spans="1:10" ht="12.75">
      <c r="A4" s="40">
        <v>1</v>
      </c>
      <c r="B4" s="40"/>
      <c r="C4" s="40" t="s">
        <v>118</v>
      </c>
      <c r="D4" s="162">
        <v>9975</v>
      </c>
      <c r="E4" s="157">
        <f>D32</f>
        <v>-121846.76769999973</v>
      </c>
      <c r="F4" s="40"/>
      <c r="G4" s="165"/>
      <c r="H4" s="158">
        <f>E32</f>
        <v>86138.42030000035</v>
      </c>
      <c r="I4" s="40"/>
      <c r="J4" s="165"/>
    </row>
    <row r="5" spans="1:10" ht="12.75">
      <c r="A5" s="40">
        <f aca="true" t="shared" si="0" ref="A5:A10">A4+1</f>
        <v>2</v>
      </c>
      <c r="B5" s="40"/>
      <c r="C5" s="40" t="s">
        <v>119</v>
      </c>
      <c r="D5" s="74"/>
      <c r="E5" s="159"/>
      <c r="F5" s="40"/>
      <c r="G5" s="165"/>
      <c r="H5" s="23"/>
      <c r="I5" s="40"/>
      <c r="J5" s="165"/>
    </row>
    <row r="6" spans="1:10" ht="12.75">
      <c r="A6" s="40">
        <f t="shared" si="0"/>
        <v>3</v>
      </c>
      <c r="B6" s="40" t="s">
        <v>352</v>
      </c>
      <c r="C6" s="23" t="s">
        <v>331</v>
      </c>
      <c r="D6" s="74">
        <f>'Local Revenue'!C12</f>
        <v>3250189.9499999997</v>
      </c>
      <c r="E6" s="159">
        <f>'Local Revenue'!D12</f>
        <v>3227592</v>
      </c>
      <c r="F6" s="74">
        <f aca="true" t="shared" si="1" ref="F6:F13">E6-D6</f>
        <v>-22597.94999999972</v>
      </c>
      <c r="G6" s="176">
        <f aca="true" t="shared" si="2" ref="G6:G13">IF(D6&lt;&gt;0,ROUND(((E6-D6)/D6),4),IF(E6=0,0,1))</f>
        <v>-0.007</v>
      </c>
      <c r="H6" s="95">
        <f>'Local Revenue'!F12</f>
        <v>3258754.92</v>
      </c>
      <c r="I6" s="74">
        <f>H6-E6</f>
        <v>31162.919999999925</v>
      </c>
      <c r="J6" s="176">
        <f>IF(E6&lt;&gt;0,ROUND(((H6-E6)/E6),4),IF(H6=0,0,1))</f>
        <v>0.0097</v>
      </c>
    </row>
    <row r="7" spans="1:10" ht="15" customHeight="1">
      <c r="A7" s="40">
        <f t="shared" si="0"/>
        <v>4</v>
      </c>
      <c r="B7" s="40" t="s">
        <v>120</v>
      </c>
      <c r="C7" s="23" t="s">
        <v>332</v>
      </c>
      <c r="D7" s="74">
        <f>'Local Revenue'!C18</f>
        <v>154009.1</v>
      </c>
      <c r="E7" s="74">
        <f>'Local Revenue'!D18</f>
        <v>157282</v>
      </c>
      <c r="F7" s="74">
        <f t="shared" si="1"/>
        <v>3272.899999999994</v>
      </c>
      <c r="G7" s="176">
        <f t="shared" si="2"/>
        <v>0.0213</v>
      </c>
      <c r="H7" s="95">
        <f>'Local Revenue'!F18</f>
        <v>157000</v>
      </c>
      <c r="I7" s="74">
        <f aca="true" t="shared" si="3" ref="I7:I13">H7-E7</f>
        <v>-282</v>
      </c>
      <c r="J7" s="176">
        <f>IF(E7&lt;&gt;0,ROUND(((H7-E7)/E7),4),IF(H7=0,0,1))</f>
        <v>-0.0018</v>
      </c>
    </row>
    <row r="8" spans="1:10" ht="12.75">
      <c r="A8" s="40">
        <f t="shared" si="0"/>
        <v>5</v>
      </c>
      <c r="B8" s="40" t="s">
        <v>121</v>
      </c>
      <c r="C8" s="40" t="s">
        <v>122</v>
      </c>
      <c r="D8" s="73">
        <v>0</v>
      </c>
      <c r="E8" s="149">
        <v>0</v>
      </c>
      <c r="F8" s="74">
        <f t="shared" si="1"/>
        <v>0</v>
      </c>
      <c r="G8" s="176">
        <f t="shared" si="2"/>
        <v>0</v>
      </c>
      <c r="H8" s="155">
        <v>0</v>
      </c>
      <c r="I8" s="74">
        <f t="shared" si="3"/>
        <v>0</v>
      </c>
      <c r="J8" s="176">
        <f aca="true" t="shared" si="4" ref="J8:J32">IF(E8&lt;&gt;0,ROUND(((H8-E8)/E8),4),IF(H8=0,0,1))</f>
        <v>0</v>
      </c>
    </row>
    <row r="9" spans="1:10" ht="12.75">
      <c r="A9" s="40">
        <f t="shared" si="0"/>
        <v>6</v>
      </c>
      <c r="B9" s="40" t="s">
        <v>74</v>
      </c>
      <c r="C9" s="23" t="s">
        <v>333</v>
      </c>
      <c r="D9" s="74">
        <f>'Total State Revenue'!C17</f>
        <v>2910561.832300001</v>
      </c>
      <c r="E9" s="74">
        <f>'Total State Revenue'!D17</f>
        <v>2928765.218</v>
      </c>
      <c r="F9" s="74">
        <f t="shared" si="1"/>
        <v>18203.385699999053</v>
      </c>
      <c r="G9" s="176">
        <f t="shared" si="2"/>
        <v>0.0063</v>
      </c>
      <c r="H9" s="95">
        <f>'Total State Revenue'!G17</f>
        <v>2878933.6100000003</v>
      </c>
      <c r="I9" s="74">
        <f t="shared" si="3"/>
        <v>-49831.60799999954</v>
      </c>
      <c r="J9" s="176">
        <f t="shared" si="4"/>
        <v>-0.017</v>
      </c>
    </row>
    <row r="10" spans="1:10" ht="12.75">
      <c r="A10" s="40">
        <f t="shared" si="0"/>
        <v>7</v>
      </c>
      <c r="B10" s="40" t="s">
        <v>52</v>
      </c>
      <c r="C10" s="23" t="s">
        <v>334</v>
      </c>
      <c r="D10" s="74">
        <f>Federal!C25</f>
        <v>319020.92</v>
      </c>
      <c r="E10" s="74">
        <f>Federal!D25</f>
        <v>445496</v>
      </c>
      <c r="F10" s="74">
        <f t="shared" si="1"/>
        <v>126475.08000000002</v>
      </c>
      <c r="G10" s="176">
        <f t="shared" si="2"/>
        <v>0.3964</v>
      </c>
      <c r="H10" s="95">
        <f>Federal!G25</f>
        <v>440539</v>
      </c>
      <c r="I10" s="74">
        <f t="shared" si="3"/>
        <v>-4957</v>
      </c>
      <c r="J10" s="176">
        <f t="shared" si="4"/>
        <v>-0.0111</v>
      </c>
    </row>
    <row r="11" spans="1:10" ht="12.75">
      <c r="A11" s="40">
        <f aca="true" t="shared" si="5" ref="A11:A32">A10+1</f>
        <v>8</v>
      </c>
      <c r="B11" s="40" t="s">
        <v>123</v>
      </c>
      <c r="C11" s="40" t="s">
        <v>124</v>
      </c>
      <c r="D11" s="73">
        <v>0</v>
      </c>
      <c r="E11" s="149">
        <v>15000</v>
      </c>
      <c r="F11" s="74">
        <f t="shared" si="1"/>
        <v>15000</v>
      </c>
      <c r="G11" s="176">
        <f t="shared" si="2"/>
        <v>1</v>
      </c>
      <c r="H11" s="155">
        <v>15000</v>
      </c>
      <c r="I11" s="74">
        <f t="shared" si="3"/>
        <v>0</v>
      </c>
      <c r="J11" s="176">
        <f t="shared" si="4"/>
        <v>0</v>
      </c>
    </row>
    <row r="12" spans="1:10" ht="12.75">
      <c r="A12" s="40">
        <f t="shared" si="5"/>
        <v>9</v>
      </c>
      <c r="B12" s="40"/>
      <c r="C12" s="40" t="s">
        <v>125</v>
      </c>
      <c r="D12" s="152">
        <f>SUM(D6:D11)</f>
        <v>6633781.802300001</v>
      </c>
      <c r="E12" s="152">
        <f>SUM(E6:E11)</f>
        <v>6774135.218</v>
      </c>
      <c r="F12" s="74">
        <f t="shared" si="1"/>
        <v>140353.41569999978</v>
      </c>
      <c r="G12" s="176">
        <f t="shared" si="2"/>
        <v>0.0212</v>
      </c>
      <c r="H12" s="160">
        <f>SUM(H6:H11)</f>
        <v>6750227.53</v>
      </c>
      <c r="I12" s="74">
        <f t="shared" si="3"/>
        <v>-23907.688000000082</v>
      </c>
      <c r="J12" s="176">
        <f t="shared" si="4"/>
        <v>-0.0035</v>
      </c>
    </row>
    <row r="13" spans="1:10" ht="12.75">
      <c r="A13" s="40">
        <f t="shared" si="5"/>
        <v>10</v>
      </c>
      <c r="B13" s="40"/>
      <c r="C13" s="40" t="s">
        <v>126</v>
      </c>
      <c r="D13" s="152">
        <f>D4+D12</f>
        <v>6643756.802300001</v>
      </c>
      <c r="E13" s="152">
        <f>E4+E12</f>
        <v>6652288.450300001</v>
      </c>
      <c r="F13" s="74">
        <f t="shared" si="1"/>
        <v>8531.648000000045</v>
      </c>
      <c r="G13" s="176">
        <f t="shared" si="2"/>
        <v>0.0013</v>
      </c>
      <c r="H13" s="158">
        <f>H12+H4</f>
        <v>6836365.950300001</v>
      </c>
      <c r="I13" s="74">
        <f t="shared" si="3"/>
        <v>184077.5</v>
      </c>
      <c r="J13" s="176">
        <f t="shared" si="4"/>
        <v>0.0277</v>
      </c>
    </row>
    <row r="14" spans="1:10" ht="12.75">
      <c r="A14" s="40">
        <f t="shared" si="5"/>
        <v>11</v>
      </c>
      <c r="B14" s="40"/>
      <c r="C14" s="40" t="s">
        <v>127</v>
      </c>
      <c r="D14" s="74"/>
      <c r="E14" s="159"/>
      <c r="F14" s="74"/>
      <c r="G14" s="165"/>
      <c r="H14" s="23"/>
      <c r="I14" s="40"/>
      <c r="J14" s="176"/>
    </row>
    <row r="15" spans="1:10" ht="12.75">
      <c r="A15" s="40">
        <f t="shared" si="5"/>
        <v>12</v>
      </c>
      <c r="B15" s="40" t="s">
        <v>128</v>
      </c>
      <c r="C15" s="40" t="s">
        <v>129</v>
      </c>
      <c r="D15" s="74">
        <f>Instruction!C9</f>
        <v>4342165.88</v>
      </c>
      <c r="E15" s="74">
        <f>Instruction!D9</f>
        <v>4230394.21</v>
      </c>
      <c r="F15" s="74">
        <f>E15-D15</f>
        <v>-111771.66999999993</v>
      </c>
      <c r="G15" s="176">
        <f>IF(D15&lt;&gt;0,ROUND(((E15-D15)/D15),4),IF(E15=0,0,1))</f>
        <v>-0.0257</v>
      </c>
      <c r="H15" s="74">
        <f>Instruction!G9</f>
        <v>4319416</v>
      </c>
      <c r="I15" s="74">
        <f aca="true" t="shared" si="6" ref="I15:I32">H15-E15</f>
        <v>89021.79000000004</v>
      </c>
      <c r="J15" s="176">
        <f t="shared" si="4"/>
        <v>0.021</v>
      </c>
    </row>
    <row r="16" spans="1:10" ht="12.75">
      <c r="A16" s="40">
        <f t="shared" si="5"/>
        <v>13</v>
      </c>
      <c r="B16" s="40"/>
      <c r="C16" s="40" t="s">
        <v>130</v>
      </c>
      <c r="D16" s="74"/>
      <c r="E16" s="159"/>
      <c r="F16" s="74"/>
      <c r="G16" s="176"/>
      <c r="H16" s="23"/>
      <c r="I16" s="74"/>
      <c r="J16" s="176"/>
    </row>
    <row r="17" spans="1:10" ht="12.75">
      <c r="A17" s="40">
        <f t="shared" si="5"/>
        <v>14</v>
      </c>
      <c r="B17" s="40" t="s">
        <v>43</v>
      </c>
      <c r="C17" s="40" t="s">
        <v>32</v>
      </c>
      <c r="D17" s="74">
        <f>Support!C3</f>
        <v>203583.19</v>
      </c>
      <c r="E17" s="74">
        <f>Support!D3</f>
        <v>143648.62</v>
      </c>
      <c r="F17" s="74">
        <f aca="true" t="shared" si="7" ref="F17:F32">E17-D17</f>
        <v>-59934.57000000001</v>
      </c>
      <c r="G17" s="176">
        <f aca="true" t="shared" si="8" ref="G17:G32">IF(D17&lt;&gt;0,ROUND(((E17-D17)/D17),4),IF(E17=0,0,1))</f>
        <v>-0.2944</v>
      </c>
      <c r="H17" s="74">
        <f>Support!G3</f>
        <v>145000</v>
      </c>
      <c r="I17" s="74">
        <f t="shared" si="6"/>
        <v>1351.3800000000047</v>
      </c>
      <c r="J17" s="176">
        <f t="shared" si="4"/>
        <v>0.0094</v>
      </c>
    </row>
    <row r="18" spans="1:10" ht="12.75">
      <c r="A18" s="40">
        <f t="shared" si="5"/>
        <v>15</v>
      </c>
      <c r="B18" s="40" t="s">
        <v>44</v>
      </c>
      <c r="C18" s="40" t="s">
        <v>131</v>
      </c>
      <c r="D18" s="74">
        <f>Support!C4</f>
        <v>118899.60999999999</v>
      </c>
      <c r="E18" s="74">
        <f>Support!D4</f>
        <v>159991.83000000002</v>
      </c>
      <c r="F18" s="74">
        <f t="shared" si="7"/>
        <v>41092.22000000003</v>
      </c>
      <c r="G18" s="176">
        <f t="shared" si="8"/>
        <v>0.3456</v>
      </c>
      <c r="H18" s="74">
        <f>Support!G4</f>
        <v>161000</v>
      </c>
      <c r="I18" s="74">
        <f t="shared" si="6"/>
        <v>1008.1699999999837</v>
      </c>
      <c r="J18" s="176">
        <f t="shared" si="4"/>
        <v>0.0063</v>
      </c>
    </row>
    <row r="19" spans="1:10" ht="12.75">
      <c r="A19" s="40">
        <f t="shared" si="5"/>
        <v>16</v>
      </c>
      <c r="B19" s="40" t="s">
        <v>45</v>
      </c>
      <c r="C19" s="40" t="s">
        <v>132</v>
      </c>
      <c r="D19" s="74">
        <f>Support!C5</f>
        <v>267614.35</v>
      </c>
      <c r="E19" s="74">
        <f>Support!D5</f>
        <v>287150.8</v>
      </c>
      <c r="F19" s="74">
        <f t="shared" si="7"/>
        <v>19536.45000000001</v>
      </c>
      <c r="G19" s="176">
        <f t="shared" si="8"/>
        <v>0.073</v>
      </c>
      <c r="H19" s="74">
        <f>Support!G5</f>
        <v>288000</v>
      </c>
      <c r="I19" s="74">
        <f t="shared" si="6"/>
        <v>849.2000000000116</v>
      </c>
      <c r="J19" s="176">
        <f t="shared" si="4"/>
        <v>0.003</v>
      </c>
    </row>
    <row r="20" spans="1:10" ht="12.75">
      <c r="A20" s="40">
        <f t="shared" si="5"/>
        <v>17</v>
      </c>
      <c r="B20" s="40" t="s">
        <v>46</v>
      </c>
      <c r="C20" s="40" t="s">
        <v>133</v>
      </c>
      <c r="D20" s="74">
        <f>Support!C6</f>
        <v>351712.47</v>
      </c>
      <c r="E20" s="74">
        <f>Support!D6</f>
        <v>325791</v>
      </c>
      <c r="F20" s="74">
        <f t="shared" si="7"/>
        <v>-25921.469999999972</v>
      </c>
      <c r="G20" s="176">
        <f t="shared" si="8"/>
        <v>-0.0737</v>
      </c>
      <c r="H20" s="74">
        <f>Support!G6</f>
        <v>326000</v>
      </c>
      <c r="I20" s="74">
        <f t="shared" si="6"/>
        <v>209</v>
      </c>
      <c r="J20" s="176">
        <f t="shared" si="4"/>
        <v>0.0006</v>
      </c>
    </row>
    <row r="21" spans="1:10" ht="12.75">
      <c r="A21" s="40">
        <f t="shared" si="5"/>
        <v>18</v>
      </c>
      <c r="B21" s="40" t="s">
        <v>47</v>
      </c>
      <c r="C21" s="40" t="s">
        <v>36</v>
      </c>
      <c r="D21" s="74">
        <f>Support!C7</f>
        <v>186134.74</v>
      </c>
      <c r="E21" s="74">
        <f>Support!D7</f>
        <v>221245.5</v>
      </c>
      <c r="F21" s="74">
        <f t="shared" si="7"/>
        <v>35110.76000000001</v>
      </c>
      <c r="G21" s="176">
        <f t="shared" si="8"/>
        <v>0.1886</v>
      </c>
      <c r="H21" s="74">
        <f>Support!G7</f>
        <v>221500</v>
      </c>
      <c r="I21" s="74">
        <f t="shared" si="6"/>
        <v>254.5</v>
      </c>
      <c r="J21" s="176">
        <f t="shared" si="4"/>
        <v>0.0012</v>
      </c>
    </row>
    <row r="22" spans="1:10" ht="12.75">
      <c r="A22" s="40">
        <f t="shared" si="5"/>
        <v>19</v>
      </c>
      <c r="B22" s="40" t="s">
        <v>48</v>
      </c>
      <c r="C22" s="40" t="s">
        <v>134</v>
      </c>
      <c r="D22" s="74">
        <f>Support!C8</f>
        <v>524956.54</v>
      </c>
      <c r="E22" s="74">
        <f>Support!D8</f>
        <v>478580.93</v>
      </c>
      <c r="F22" s="74">
        <f t="shared" si="7"/>
        <v>-46375.610000000044</v>
      </c>
      <c r="G22" s="176">
        <f t="shared" si="8"/>
        <v>-0.0883</v>
      </c>
      <c r="H22" s="74">
        <f>Support!G8</f>
        <v>479000</v>
      </c>
      <c r="I22" s="74">
        <f t="shared" si="6"/>
        <v>419.070000000007</v>
      </c>
      <c r="J22" s="176">
        <f t="shared" si="4"/>
        <v>0.0009</v>
      </c>
    </row>
    <row r="23" spans="1:10" ht="12.75">
      <c r="A23" s="40">
        <f t="shared" si="5"/>
        <v>20</v>
      </c>
      <c r="B23" s="40" t="s">
        <v>49</v>
      </c>
      <c r="C23" s="40" t="s">
        <v>135</v>
      </c>
      <c r="D23" s="74">
        <f>Support!C9</f>
        <v>511142.72</v>
      </c>
      <c r="E23" s="74">
        <f>Support!D9</f>
        <v>464597.7</v>
      </c>
      <c r="F23" s="74">
        <f t="shared" si="7"/>
        <v>-46545.01999999996</v>
      </c>
      <c r="G23" s="176">
        <f t="shared" si="8"/>
        <v>-0.0911</v>
      </c>
      <c r="H23" s="74">
        <f>Support!G9</f>
        <v>465000</v>
      </c>
      <c r="I23" s="74">
        <f t="shared" si="6"/>
        <v>402.29999999998836</v>
      </c>
      <c r="J23" s="176">
        <f t="shared" si="4"/>
        <v>0.0009</v>
      </c>
    </row>
    <row r="24" spans="1:10" ht="12.75">
      <c r="A24" s="40">
        <f t="shared" si="5"/>
        <v>21</v>
      </c>
      <c r="B24" s="40" t="s">
        <v>50</v>
      </c>
      <c r="C24" s="40" t="s">
        <v>39</v>
      </c>
      <c r="D24" s="74">
        <f>Support!C10</f>
        <v>142167.62000000002</v>
      </c>
      <c r="E24" s="74">
        <f>Support!D10</f>
        <v>135971.57</v>
      </c>
      <c r="F24" s="74">
        <f t="shared" si="7"/>
        <v>-6196.0500000000175</v>
      </c>
      <c r="G24" s="176">
        <f t="shared" si="8"/>
        <v>-0.0436</v>
      </c>
      <c r="H24" s="74">
        <f>Support!G10</f>
        <v>136000</v>
      </c>
      <c r="I24" s="74">
        <f t="shared" si="6"/>
        <v>28.429999999993015</v>
      </c>
      <c r="J24" s="176">
        <f t="shared" si="4"/>
        <v>0.0002</v>
      </c>
    </row>
    <row r="25" spans="1:10" ht="12.75">
      <c r="A25" s="40">
        <f t="shared" si="5"/>
        <v>22</v>
      </c>
      <c r="B25" s="40" t="s">
        <v>136</v>
      </c>
      <c r="C25" s="40" t="s">
        <v>137</v>
      </c>
      <c r="D25" s="74">
        <f>Support!C11</f>
        <v>115803.45</v>
      </c>
      <c r="E25" s="74">
        <f>Support!D11</f>
        <v>117150.16</v>
      </c>
      <c r="F25" s="74">
        <f t="shared" si="7"/>
        <v>1346.7100000000064</v>
      </c>
      <c r="G25" s="176">
        <f t="shared" si="8"/>
        <v>0.0116</v>
      </c>
      <c r="H25" s="74">
        <f>Support!G11</f>
        <v>117000</v>
      </c>
      <c r="I25" s="74">
        <f t="shared" si="6"/>
        <v>-150.1600000000035</v>
      </c>
      <c r="J25" s="176">
        <f t="shared" si="4"/>
        <v>-0.0013</v>
      </c>
    </row>
    <row r="26" spans="1:10" ht="12.75">
      <c r="A26" s="40">
        <f t="shared" si="5"/>
        <v>23</v>
      </c>
      <c r="B26" s="40" t="s">
        <v>74</v>
      </c>
      <c r="C26" s="40" t="s">
        <v>138</v>
      </c>
      <c r="D26" s="74">
        <f>Support!C12</f>
        <v>1423</v>
      </c>
      <c r="E26" s="74">
        <f>Support!D12</f>
        <v>1627.71</v>
      </c>
      <c r="F26" s="74">
        <f t="shared" si="7"/>
        <v>204.71000000000004</v>
      </c>
      <c r="G26" s="176">
        <f t="shared" si="8"/>
        <v>0.1439</v>
      </c>
      <c r="H26" s="74">
        <f>Support!G12</f>
        <v>1500</v>
      </c>
      <c r="I26" s="74">
        <f t="shared" si="6"/>
        <v>-127.71000000000004</v>
      </c>
      <c r="J26" s="176">
        <f t="shared" si="4"/>
        <v>-0.0785</v>
      </c>
    </row>
    <row r="27" spans="1:10" ht="12.75">
      <c r="A27" s="40">
        <f t="shared" si="5"/>
        <v>24</v>
      </c>
      <c r="B27" s="40" t="s">
        <v>139</v>
      </c>
      <c r="C27" s="40" t="s">
        <v>140</v>
      </c>
      <c r="D27" s="74">
        <f>Support!C13</f>
        <v>0</v>
      </c>
      <c r="E27" s="74">
        <f>Support!D13</f>
        <v>0</v>
      </c>
      <c r="F27" s="74">
        <f t="shared" si="7"/>
        <v>0</v>
      </c>
      <c r="G27" s="176">
        <f t="shared" si="8"/>
        <v>0</v>
      </c>
      <c r="H27" s="74">
        <f>Support!G13</f>
        <v>0</v>
      </c>
      <c r="I27" s="74">
        <f t="shared" si="6"/>
        <v>0</v>
      </c>
      <c r="J27" s="176">
        <f t="shared" si="4"/>
        <v>0</v>
      </c>
    </row>
    <row r="28" spans="1:10" ht="12.75">
      <c r="A28" s="40">
        <f t="shared" si="5"/>
        <v>25</v>
      </c>
      <c r="B28" s="40" t="s">
        <v>141</v>
      </c>
      <c r="C28" s="40" t="s">
        <v>142</v>
      </c>
      <c r="D28" s="74">
        <f>Support!C14</f>
        <v>0</v>
      </c>
      <c r="E28" s="74">
        <f>Support!D14</f>
        <v>0</v>
      </c>
      <c r="F28" s="74">
        <f t="shared" si="7"/>
        <v>0</v>
      </c>
      <c r="G28" s="176">
        <f t="shared" si="8"/>
        <v>0</v>
      </c>
      <c r="H28" s="74">
        <f>Support!G14</f>
        <v>0</v>
      </c>
      <c r="I28" s="74">
        <f t="shared" si="6"/>
        <v>0</v>
      </c>
      <c r="J28" s="176">
        <f t="shared" si="4"/>
        <v>0</v>
      </c>
    </row>
    <row r="29" spans="1:10" ht="12.75">
      <c r="A29" s="40">
        <f t="shared" si="5"/>
        <v>26</v>
      </c>
      <c r="B29" s="40" t="s">
        <v>120</v>
      </c>
      <c r="C29" s="40" t="s">
        <v>143</v>
      </c>
      <c r="D29" s="74">
        <f>Support!C15</f>
        <v>0</v>
      </c>
      <c r="E29" s="74">
        <f>Support!D15</f>
        <v>0</v>
      </c>
      <c r="F29" s="74">
        <f t="shared" si="7"/>
        <v>0</v>
      </c>
      <c r="G29" s="176">
        <f t="shared" si="8"/>
        <v>0</v>
      </c>
      <c r="H29" s="74">
        <f>Support!G15</f>
        <v>0</v>
      </c>
      <c r="I29" s="74">
        <f t="shared" si="6"/>
        <v>0</v>
      </c>
      <c r="J29" s="176">
        <f t="shared" si="4"/>
        <v>0</v>
      </c>
    </row>
    <row r="30" spans="1:10" ht="12.75">
      <c r="A30" s="40">
        <f t="shared" si="5"/>
        <v>27</v>
      </c>
      <c r="B30" s="40" t="s">
        <v>53</v>
      </c>
      <c r="C30" s="40" t="s">
        <v>144</v>
      </c>
      <c r="D30" s="74">
        <f>Support!C16</f>
        <v>0</v>
      </c>
      <c r="E30" s="74">
        <f>Support!D16</f>
        <v>0</v>
      </c>
      <c r="F30" s="74">
        <f t="shared" si="7"/>
        <v>0</v>
      </c>
      <c r="G30" s="176">
        <f t="shared" si="8"/>
        <v>0</v>
      </c>
      <c r="H30" s="74">
        <f>Support!G16</f>
        <v>0</v>
      </c>
      <c r="I30" s="74">
        <f t="shared" si="6"/>
        <v>0</v>
      </c>
      <c r="J30" s="176">
        <f t="shared" si="4"/>
        <v>0</v>
      </c>
    </row>
    <row r="31" spans="1:10" ht="12.75">
      <c r="A31" s="40">
        <f t="shared" si="5"/>
        <v>28</v>
      </c>
      <c r="B31" s="40"/>
      <c r="C31" s="40" t="s">
        <v>145</v>
      </c>
      <c r="D31" s="152">
        <f>SUM(D15:D30)</f>
        <v>6765603.57</v>
      </c>
      <c r="E31" s="152">
        <f>SUM(E15:E30)</f>
        <v>6566150.03</v>
      </c>
      <c r="F31" s="152">
        <f t="shared" si="7"/>
        <v>-199453.54000000004</v>
      </c>
      <c r="G31" s="176">
        <f t="shared" si="8"/>
        <v>-0.0295</v>
      </c>
      <c r="H31" s="152">
        <f>SUM(H15:H30)</f>
        <v>6659416</v>
      </c>
      <c r="I31" s="74">
        <f t="shared" si="6"/>
        <v>93265.96999999974</v>
      </c>
      <c r="J31" s="176">
        <f t="shared" si="4"/>
        <v>0.0142</v>
      </c>
    </row>
    <row r="32" spans="1:10" ht="12.75">
      <c r="A32" s="40">
        <f t="shared" si="5"/>
        <v>29</v>
      </c>
      <c r="B32" s="40"/>
      <c r="C32" s="40" t="s">
        <v>146</v>
      </c>
      <c r="D32" s="152">
        <f>D13-D31</f>
        <v>-121846.76769999973</v>
      </c>
      <c r="E32" s="152">
        <f>E13-E31</f>
        <v>86138.42030000035</v>
      </c>
      <c r="F32" s="74">
        <f t="shared" si="7"/>
        <v>207985.18800000008</v>
      </c>
      <c r="G32" s="176">
        <f t="shared" si="8"/>
        <v>-1.7069</v>
      </c>
      <c r="H32" s="158">
        <f>H13-H31</f>
        <v>176949.9503000006</v>
      </c>
      <c r="I32" s="74">
        <f t="shared" si="6"/>
        <v>90811.53000000026</v>
      </c>
      <c r="J32" s="176">
        <f t="shared" si="4"/>
        <v>1.0543</v>
      </c>
    </row>
    <row r="33" spans="2:10" s="4" customFormat="1" ht="12.75">
      <c r="B33" s="28"/>
      <c r="C33" s="28"/>
      <c r="D33" s="28"/>
      <c r="E33" s="28"/>
      <c r="F33" s="28"/>
      <c r="G33" s="3"/>
      <c r="H33" s="178"/>
      <c r="I33" s="3"/>
      <c r="J33" s="28"/>
    </row>
    <row r="34" spans="2:10" s="4" customFormat="1" ht="12.75">
      <c r="B34" s="179" t="s">
        <v>357</v>
      </c>
      <c r="C34" s="179"/>
      <c r="D34" s="179"/>
      <c r="E34" s="179"/>
      <c r="F34" s="179"/>
      <c r="G34" s="3"/>
      <c r="H34" s="178"/>
      <c r="I34" s="3"/>
      <c r="J34" s="28"/>
    </row>
    <row r="35" spans="2:10" s="4" customFormat="1" ht="12.75">
      <c r="B35" s="180"/>
      <c r="C35" s="192"/>
      <c r="D35" s="192"/>
      <c r="E35" s="192"/>
      <c r="F35" s="192"/>
      <c r="G35" s="181"/>
      <c r="H35" s="182"/>
      <c r="I35" s="181"/>
      <c r="J35" s="183"/>
    </row>
    <row r="36" spans="2:10" s="4" customFormat="1" ht="12.75">
      <c r="B36" s="184"/>
      <c r="C36" s="193"/>
      <c r="D36" s="193"/>
      <c r="E36" s="193"/>
      <c r="F36" s="193"/>
      <c r="G36" s="185"/>
      <c r="H36" s="186"/>
      <c r="I36" s="185"/>
      <c r="J36" s="187"/>
    </row>
    <row r="37" spans="2:10" s="4" customFormat="1" ht="12.75">
      <c r="B37" s="184"/>
      <c r="C37" s="193"/>
      <c r="D37" s="193"/>
      <c r="E37" s="193"/>
      <c r="F37" s="193"/>
      <c r="G37" s="185"/>
      <c r="H37" s="186"/>
      <c r="I37" s="185"/>
      <c r="J37" s="187"/>
    </row>
    <row r="38" spans="2:10" s="4" customFormat="1" ht="12.75">
      <c r="B38" s="184"/>
      <c r="C38" s="193"/>
      <c r="D38" s="193"/>
      <c r="E38" s="193"/>
      <c r="F38" s="193"/>
      <c r="G38" s="185"/>
      <c r="H38" s="186"/>
      <c r="I38" s="185"/>
      <c r="J38" s="187"/>
    </row>
    <row r="39" spans="2:10" s="4" customFormat="1" ht="12.75">
      <c r="B39" s="184"/>
      <c r="C39" s="193"/>
      <c r="D39" s="193"/>
      <c r="E39" s="193"/>
      <c r="F39" s="193"/>
      <c r="G39" s="185"/>
      <c r="H39" s="186"/>
      <c r="I39" s="185"/>
      <c r="J39" s="187"/>
    </row>
    <row r="40" spans="2:10" s="4" customFormat="1" ht="12.75">
      <c r="B40" s="184"/>
      <c r="C40" s="193"/>
      <c r="D40" s="193"/>
      <c r="E40" s="193"/>
      <c r="F40" s="193"/>
      <c r="G40" s="185"/>
      <c r="H40" s="186"/>
      <c r="I40" s="185"/>
      <c r="J40" s="187"/>
    </row>
    <row r="41" spans="2:10" s="4" customFormat="1" ht="12.75">
      <c r="B41" s="184"/>
      <c r="C41" s="193"/>
      <c r="D41" s="193"/>
      <c r="E41" s="193"/>
      <c r="F41" s="193"/>
      <c r="G41" s="185"/>
      <c r="H41" s="186"/>
      <c r="I41" s="185"/>
      <c r="J41" s="187"/>
    </row>
    <row r="42" spans="2:10" s="4" customFormat="1" ht="12.75">
      <c r="B42" s="184"/>
      <c r="C42" s="193"/>
      <c r="D42" s="193"/>
      <c r="E42" s="193"/>
      <c r="F42" s="193"/>
      <c r="G42" s="185"/>
      <c r="H42" s="186"/>
      <c r="I42" s="185"/>
      <c r="J42" s="187"/>
    </row>
    <row r="43" spans="2:10" s="4" customFormat="1" ht="12.75">
      <c r="B43" s="184"/>
      <c r="C43" s="193"/>
      <c r="D43" s="193"/>
      <c r="E43" s="193"/>
      <c r="F43" s="193"/>
      <c r="G43" s="185"/>
      <c r="H43" s="186"/>
      <c r="I43" s="185"/>
      <c r="J43" s="187"/>
    </row>
    <row r="44" spans="2:10" s="4" customFormat="1" ht="12.75">
      <c r="B44" s="188"/>
      <c r="C44" s="194"/>
      <c r="D44" s="194"/>
      <c r="E44" s="194"/>
      <c r="F44" s="194"/>
      <c r="G44" s="189"/>
      <c r="H44" s="190"/>
      <c r="I44" s="189"/>
      <c r="J44" s="191"/>
    </row>
    <row r="45" ht="12.75">
      <c r="D45" s="1"/>
    </row>
  </sheetData>
  <sheetProtection password="CAD5" sheet="1"/>
  <conditionalFormatting sqref="A1:J3 H4:I32 A4:F32 B35:J44">
    <cfRule type="expression" priority="1" dxfId="0" stopIfTrue="1">
      <formula>CELL("protect",A1)</formula>
    </cfRule>
  </conditionalFormatting>
  <conditionalFormatting sqref="J4:J32 G4:G32">
    <cfRule type="cellIs" priority="2" dxfId="10" operator="greaterThan" stopIfTrue="1">
      <formula>0.1</formula>
    </cfRule>
    <cfRule type="cellIs" priority="3" dxfId="10" operator="lessThan" stopIfTrue="1">
      <formula>-0.1</formula>
    </cfRule>
    <cfRule type="expression" priority="4" dxfId="0" stopIfTrue="1">
      <formula>CELL("protect",G4)</formula>
    </cfRule>
  </conditionalFormatting>
  <conditionalFormatting sqref="A33:A44 B33:J34">
    <cfRule type="expression" priority="5" dxfId="0" stopIfTrue="1">
      <formula>CELL("protect",$A$1)</formula>
    </cfRule>
  </conditionalFormatting>
  <printOptions/>
  <pageMargins left="0.5" right="0.5" top="0.91" bottom="0.31" header="0.47" footer="0"/>
  <pageSetup blackAndWhite="1" fitToHeight="1" fitToWidth="1" horizontalDpi="600" verticalDpi="600" orientation="landscape" scale="92"/>
  <headerFooter alignWithMargins="0">
    <oddHeader>&amp;C&amp;16Deficit Elimination Plan</oddHeader>
  </headerFooter>
</worksheet>
</file>

<file path=xl/worksheets/sheet15.xml><?xml version="1.0" encoding="utf-8"?>
<worksheet xmlns="http://schemas.openxmlformats.org/spreadsheetml/2006/main" xmlns:r="http://schemas.openxmlformats.org/officeDocument/2006/relationships">
  <dimension ref="A2:C40"/>
  <sheetViews>
    <sheetView zoomScale="115" zoomScaleNormal="115" zoomScalePageLayoutView="0" workbookViewId="0" topLeftCell="A26">
      <selection activeCell="C25" sqref="C25"/>
    </sheetView>
  </sheetViews>
  <sheetFormatPr defaultColWidth="7.421875" defaultRowHeight="12.75"/>
  <cols>
    <col min="1" max="1" width="5.140625" style="198" bestFit="1" customWidth="1"/>
    <col min="2" max="2" width="9.140625" style="199" customWidth="1"/>
    <col min="3" max="3" width="90.7109375" style="199" customWidth="1"/>
    <col min="4" max="16384" width="7.421875" style="199" customWidth="1"/>
  </cols>
  <sheetData>
    <row r="2" spans="1:3" s="201" customFormat="1" ht="25.5" customHeight="1">
      <c r="A2" s="200">
        <v>1</v>
      </c>
      <c r="B2" s="275" t="str">
        <f>Headers!A11</f>
        <v>For which employee groups have negotiations been completed for 2015-16?</v>
      </c>
      <c r="C2" s="276"/>
    </row>
    <row r="3" spans="1:3" s="201" customFormat="1" ht="12.75">
      <c r="A3" s="202"/>
      <c r="B3" s="203" t="s">
        <v>327</v>
      </c>
      <c r="C3" s="274" t="s">
        <v>495</v>
      </c>
    </row>
    <row r="4" spans="1:3" s="201" customFormat="1" ht="25.5" customHeight="1">
      <c r="A4" s="200">
        <v>2</v>
      </c>
      <c r="B4" s="275" t="str">
        <f>Headers!A12</f>
        <v>For which employee groups have negotiations not been completed for 2015-16?</v>
      </c>
      <c r="C4" s="276"/>
    </row>
    <row r="5" spans="1:3" s="201" customFormat="1" ht="12.75">
      <c r="A5" s="202"/>
      <c r="B5" s="203" t="s">
        <v>327</v>
      </c>
      <c r="C5" s="204" t="s">
        <v>487</v>
      </c>
    </row>
    <row r="6" spans="1:3" s="201" customFormat="1" ht="25.5" customHeight="1">
      <c r="A6" s="200">
        <v>3</v>
      </c>
      <c r="B6" s="275" t="str">
        <f>Headers!A13</f>
        <v>For which employee groups have negotiations been completed for 2016-17?</v>
      </c>
      <c r="C6" s="276"/>
    </row>
    <row r="7" spans="1:3" s="201" customFormat="1" ht="12.75">
      <c r="A7" s="202"/>
      <c r="B7" s="203" t="s">
        <v>327</v>
      </c>
      <c r="C7" s="204" t="s">
        <v>489</v>
      </c>
    </row>
    <row r="8" spans="1:3" s="201" customFormat="1" ht="25.5" customHeight="1">
      <c r="A8" s="200">
        <v>4</v>
      </c>
      <c r="B8" s="275" t="str">
        <f>Headers!A14</f>
        <v>For which employee groups have negotiations not been completed for 2016-17?</v>
      </c>
      <c r="C8" s="276"/>
    </row>
    <row r="9" spans="1:3" s="201" customFormat="1" ht="12.75">
      <c r="A9" s="202"/>
      <c r="B9" s="203" t="s">
        <v>327</v>
      </c>
      <c r="C9" s="205" t="s">
        <v>488</v>
      </c>
    </row>
    <row r="10" spans="1:3" s="201" customFormat="1" ht="25.5" customHeight="1">
      <c r="A10" s="200">
        <v>5</v>
      </c>
      <c r="B10" s="276" t="s">
        <v>359</v>
      </c>
      <c r="C10" s="276"/>
    </row>
    <row r="11" spans="1:3" s="201" customFormat="1" ht="12.75">
      <c r="A11" s="202"/>
      <c r="B11" s="203" t="s">
        <v>327</v>
      </c>
      <c r="C11" s="274" t="s">
        <v>496</v>
      </c>
    </row>
    <row r="12" spans="1:3" s="201" customFormat="1" ht="25.5" customHeight="1">
      <c r="A12" s="200">
        <v>6</v>
      </c>
      <c r="B12" s="275" t="str">
        <f>Headers!A15</f>
        <v>Are projected savings from employee negotiations included in 2015-16?</v>
      </c>
      <c r="C12" s="276"/>
    </row>
    <row r="13" spans="1:3" s="201" customFormat="1" ht="12.75">
      <c r="A13" s="202"/>
      <c r="B13" s="203" t="s">
        <v>327</v>
      </c>
      <c r="C13" s="204" t="s">
        <v>490</v>
      </c>
    </row>
    <row r="14" spans="1:3" s="201" customFormat="1" ht="25.5" customHeight="1">
      <c r="A14" s="200">
        <v>7</v>
      </c>
      <c r="B14" s="275" t="str">
        <f>Headers!A16</f>
        <v>Are projected savings from employee negotiations included in 2016-17?</v>
      </c>
      <c r="C14" s="276"/>
    </row>
    <row r="15" spans="1:3" s="201" customFormat="1" ht="12.75">
      <c r="A15" s="202"/>
      <c r="B15" s="203" t="s">
        <v>327</v>
      </c>
      <c r="C15" s="204" t="s">
        <v>490</v>
      </c>
    </row>
    <row r="16" spans="1:3" s="201" customFormat="1" ht="25.5" customHeight="1">
      <c r="A16" s="200">
        <v>8</v>
      </c>
      <c r="B16" s="276" t="s">
        <v>360</v>
      </c>
      <c r="C16" s="276"/>
    </row>
    <row r="17" spans="1:3" s="201" customFormat="1" ht="25.5">
      <c r="A17" s="202"/>
      <c r="B17" s="203" t="s">
        <v>327</v>
      </c>
      <c r="C17" s="274" t="s">
        <v>497</v>
      </c>
    </row>
    <row r="18" spans="1:3" s="201" customFormat="1" ht="25.5" customHeight="1">
      <c r="A18" s="200">
        <v>9</v>
      </c>
      <c r="B18" s="276" t="s">
        <v>361</v>
      </c>
      <c r="C18" s="276"/>
    </row>
    <row r="19" spans="1:3" s="201" customFormat="1" ht="25.5">
      <c r="A19" s="202"/>
      <c r="B19" s="203" t="s">
        <v>327</v>
      </c>
      <c r="C19" s="274" t="s">
        <v>498</v>
      </c>
    </row>
    <row r="20" spans="1:3" s="201" customFormat="1" ht="25.5" customHeight="1">
      <c r="A20" s="200">
        <v>10</v>
      </c>
      <c r="B20" s="276" t="s">
        <v>362</v>
      </c>
      <c r="C20" s="276"/>
    </row>
    <row r="21" spans="1:3" s="201" customFormat="1" ht="12.75">
      <c r="A21" s="202"/>
      <c r="B21" s="203" t="s">
        <v>327</v>
      </c>
      <c r="C21" s="204" t="s">
        <v>487</v>
      </c>
    </row>
    <row r="22" spans="1:3" s="201" customFormat="1" ht="25.5" customHeight="1">
      <c r="A22" s="200">
        <v>11</v>
      </c>
      <c r="B22" s="276" t="s">
        <v>363</v>
      </c>
      <c r="C22" s="276"/>
    </row>
    <row r="23" spans="1:3" s="201" customFormat="1" ht="12.75">
      <c r="A23" s="202"/>
      <c r="B23" s="203" t="s">
        <v>327</v>
      </c>
      <c r="C23" s="274" t="s">
        <v>499</v>
      </c>
    </row>
    <row r="24" spans="1:3" s="201" customFormat="1" ht="25.5" customHeight="1">
      <c r="A24" s="200">
        <v>12</v>
      </c>
      <c r="B24" s="275" t="s">
        <v>364</v>
      </c>
      <c r="C24" s="276"/>
    </row>
    <row r="25" spans="1:3" s="201" customFormat="1" ht="25.5">
      <c r="A25" s="202"/>
      <c r="B25" s="203" t="s">
        <v>327</v>
      </c>
      <c r="C25" s="274" t="s">
        <v>500</v>
      </c>
    </row>
    <row r="26" spans="1:3" s="201" customFormat="1" ht="25.5" customHeight="1">
      <c r="A26" s="200">
        <v>13</v>
      </c>
      <c r="B26" s="276" t="s">
        <v>365</v>
      </c>
      <c r="C26" s="276"/>
    </row>
    <row r="27" spans="1:3" s="201" customFormat="1" ht="25.5">
      <c r="A27" s="202"/>
      <c r="B27" s="203" t="s">
        <v>327</v>
      </c>
      <c r="C27" s="204" t="s">
        <v>491</v>
      </c>
    </row>
    <row r="28" spans="1:3" s="201" customFormat="1" ht="38.25" customHeight="1">
      <c r="A28" s="206">
        <v>14</v>
      </c>
      <c r="B28" s="276" t="s">
        <v>366</v>
      </c>
      <c r="C28" s="276"/>
    </row>
    <row r="29" spans="1:3" s="201" customFormat="1" ht="12.75">
      <c r="A29" s="202"/>
      <c r="B29" s="203" t="s">
        <v>327</v>
      </c>
      <c r="C29" s="204" t="s">
        <v>492</v>
      </c>
    </row>
    <row r="30" spans="1:3" s="201" customFormat="1" ht="38.25" customHeight="1">
      <c r="A30" s="206">
        <v>15</v>
      </c>
      <c r="B30" s="276" t="s">
        <v>367</v>
      </c>
      <c r="C30" s="276"/>
    </row>
    <row r="31" spans="1:3" s="201" customFormat="1" ht="25.5">
      <c r="A31" s="202"/>
      <c r="B31" s="203" t="s">
        <v>327</v>
      </c>
      <c r="C31" s="204" t="s">
        <v>493</v>
      </c>
    </row>
    <row r="32" spans="1:3" s="201" customFormat="1" ht="25.5" customHeight="1">
      <c r="A32" s="200">
        <v>16</v>
      </c>
      <c r="B32" s="276" t="s">
        <v>368</v>
      </c>
      <c r="C32" s="276"/>
    </row>
    <row r="33" spans="1:3" s="201" customFormat="1" ht="12.75">
      <c r="A33" s="202"/>
      <c r="B33" s="203" t="s">
        <v>327</v>
      </c>
      <c r="C33" s="204"/>
    </row>
    <row r="34" spans="1:3" s="201" customFormat="1" ht="25.5" customHeight="1">
      <c r="A34" s="200">
        <v>17</v>
      </c>
      <c r="B34" s="276" t="s">
        <v>369</v>
      </c>
      <c r="C34" s="276"/>
    </row>
    <row r="35" spans="1:3" s="201" customFormat="1" ht="12.75">
      <c r="A35" s="202"/>
      <c r="B35" s="203" t="s">
        <v>327</v>
      </c>
      <c r="C35" s="204"/>
    </row>
    <row r="36" spans="1:3" s="201" customFormat="1" ht="25.5" customHeight="1">
      <c r="A36" s="200">
        <v>18</v>
      </c>
      <c r="B36" s="276" t="s">
        <v>370</v>
      </c>
      <c r="C36" s="276"/>
    </row>
    <row r="37" spans="1:3" s="201" customFormat="1" ht="12.75">
      <c r="A37" s="202"/>
      <c r="B37" s="203" t="s">
        <v>327</v>
      </c>
      <c r="C37" s="204" t="s">
        <v>490</v>
      </c>
    </row>
    <row r="38" spans="1:3" s="201" customFormat="1" ht="25.5" customHeight="1">
      <c r="A38" s="200">
        <v>19</v>
      </c>
      <c r="B38" s="275" t="s">
        <v>379</v>
      </c>
      <c r="C38" s="276"/>
    </row>
    <row r="39" spans="1:3" s="201" customFormat="1" ht="12.75">
      <c r="A39" s="202"/>
      <c r="B39" s="203" t="s">
        <v>327</v>
      </c>
      <c r="C39" s="204" t="s">
        <v>494</v>
      </c>
    </row>
    <row r="40" spans="1:3" s="201" customFormat="1" ht="15.75" customHeight="1">
      <c r="A40" s="202"/>
      <c r="B40" s="277"/>
      <c r="C40" s="277"/>
    </row>
  </sheetData>
  <sheetProtection password="CAD5" sheet="1"/>
  <mergeCells count="20">
    <mergeCell ref="B2:C2"/>
    <mergeCell ref="B4:C4"/>
    <mergeCell ref="B6:C6"/>
    <mergeCell ref="B8:C8"/>
    <mergeCell ref="B10:C10"/>
    <mergeCell ref="B12:C12"/>
    <mergeCell ref="B14:C14"/>
    <mergeCell ref="B16:C16"/>
    <mergeCell ref="B18:C18"/>
    <mergeCell ref="B20:C20"/>
    <mergeCell ref="B22:C22"/>
    <mergeCell ref="B24:C24"/>
    <mergeCell ref="B34:C34"/>
    <mergeCell ref="B36:C36"/>
    <mergeCell ref="B40:C40"/>
    <mergeCell ref="B26:C26"/>
    <mergeCell ref="B28:C28"/>
    <mergeCell ref="B30:C30"/>
    <mergeCell ref="B32:C32"/>
    <mergeCell ref="B38:C38"/>
  </mergeCells>
  <conditionalFormatting sqref="A40:IV65536 A1:IV37">
    <cfRule type="expression" priority="2" dxfId="0" stopIfTrue="1">
      <formula>CELL("protect",A1)</formula>
    </cfRule>
  </conditionalFormatting>
  <conditionalFormatting sqref="A38:IV39">
    <cfRule type="expression" priority="1" dxfId="0" stopIfTrue="1">
      <formula>CELL("protect",A38)</formula>
    </cfRule>
  </conditionalFormatting>
  <printOptions/>
  <pageMargins left="0.75" right="0.75" top="1" bottom="0.49" header="0.5" footer="0.5"/>
  <pageSetup blackAndWhite="1" horizontalDpi="600" verticalDpi="600" orientation="portrait" scale="86"/>
  <headerFooter alignWithMargins="0">
    <oddHeader>&amp;CNARRATIVE SECTION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A28"/>
  <sheetViews>
    <sheetView zoomScalePageLayoutView="0" workbookViewId="0" topLeftCell="A38">
      <selection activeCell="A5" sqref="A5"/>
    </sheetView>
  </sheetViews>
  <sheetFormatPr defaultColWidth="8.8515625" defaultRowHeight="12.75"/>
  <cols>
    <col min="1" max="1" width="122.421875" style="238" customWidth="1"/>
  </cols>
  <sheetData>
    <row r="1" ht="23.25">
      <c r="A1" s="234" t="s">
        <v>407</v>
      </c>
    </row>
    <row r="2" ht="15">
      <c r="A2" s="235"/>
    </row>
    <row r="3" ht="90">
      <c r="A3" s="236" t="s">
        <v>408</v>
      </c>
    </row>
    <row r="4" ht="15">
      <c r="A4" s="236"/>
    </row>
    <row r="5" ht="75">
      <c r="A5" s="236" t="s">
        <v>409</v>
      </c>
    </row>
    <row r="6" ht="15">
      <c r="A6" s="236"/>
    </row>
    <row r="7" ht="30">
      <c r="A7" s="236" t="s">
        <v>410</v>
      </c>
    </row>
    <row r="8" ht="15">
      <c r="A8" s="236"/>
    </row>
    <row r="9" ht="15.75">
      <c r="A9" s="237" t="s">
        <v>411</v>
      </c>
    </row>
    <row r="10" ht="90">
      <c r="A10" s="236" t="s">
        <v>412</v>
      </c>
    </row>
    <row r="11" ht="15">
      <c r="A11" s="236"/>
    </row>
    <row r="12" ht="15.75">
      <c r="A12" s="237" t="s">
        <v>413</v>
      </c>
    </row>
    <row r="13" ht="75">
      <c r="A13" s="236" t="s">
        <v>414</v>
      </c>
    </row>
    <row r="14" ht="15">
      <c r="A14" s="236"/>
    </row>
    <row r="15" ht="15.75">
      <c r="A15" s="237" t="s">
        <v>415</v>
      </c>
    </row>
    <row r="16" ht="105">
      <c r="A16" s="236" t="s">
        <v>416</v>
      </c>
    </row>
    <row r="17" ht="15">
      <c r="A17" s="236"/>
    </row>
    <row r="18" ht="15.75">
      <c r="A18" s="237" t="s">
        <v>417</v>
      </c>
    </row>
    <row r="19" ht="15">
      <c r="A19" s="236" t="s">
        <v>418</v>
      </c>
    </row>
    <row r="20" ht="15">
      <c r="A20" s="236"/>
    </row>
    <row r="21" ht="15.75">
      <c r="A21" s="237" t="s">
        <v>419</v>
      </c>
    </row>
    <row r="22" ht="90.75">
      <c r="A22" s="236" t="s">
        <v>420</v>
      </c>
    </row>
    <row r="23" ht="15">
      <c r="A23" s="236"/>
    </row>
    <row r="24" ht="15.75">
      <c r="A24" s="237" t="s">
        <v>421</v>
      </c>
    </row>
    <row r="25" ht="15">
      <c r="A25" s="236" t="s">
        <v>422</v>
      </c>
    </row>
    <row r="26" ht="15">
      <c r="A26" s="236"/>
    </row>
    <row r="27" ht="15.75">
      <c r="A27" s="237" t="s">
        <v>423</v>
      </c>
    </row>
    <row r="28" ht="30">
      <c r="A28" s="236" t="s">
        <v>424</v>
      </c>
    </row>
  </sheetData>
  <sheetProtection password="CAD5" sheet="1"/>
  <printOptions/>
  <pageMargins left="0.7" right="0.7" top="0.75" bottom="0.75" header="0.3" footer="0.3"/>
  <pageSetup fitToHeight="1" fitToWidth="1" orientation="portrait" scale="49"/>
  <drawing r:id="rId1"/>
</worksheet>
</file>

<file path=xl/worksheets/sheet17.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C1"/>
    </sheetView>
  </sheetViews>
  <sheetFormatPr defaultColWidth="9.140625" defaultRowHeight="12.75"/>
  <cols>
    <col min="1" max="1" width="4.140625" style="4" bestFit="1" customWidth="1"/>
    <col min="2" max="2" width="8.140625" style="4" customWidth="1"/>
    <col min="3" max="3" width="38.421875" style="4" bestFit="1" customWidth="1"/>
    <col min="4" max="4" width="15.421875" style="4" bestFit="1" customWidth="1"/>
    <col min="5" max="5" width="17.421875" style="4" customWidth="1"/>
    <col min="6" max="6" width="16.00390625" style="4" customWidth="1"/>
    <col min="7" max="7" width="15.00390625" style="4" customWidth="1"/>
    <col min="8" max="8" width="16.421875" style="4" bestFit="1" customWidth="1"/>
    <col min="9" max="9" width="12.7109375" style="4" bestFit="1" customWidth="1"/>
    <col min="10" max="10" width="21.7109375" style="4" customWidth="1"/>
    <col min="11" max="16384" width="11.421875" style="4" customWidth="1"/>
  </cols>
  <sheetData>
    <row r="1" spans="1:10" ht="15.75">
      <c r="A1" s="282" t="s">
        <v>226</v>
      </c>
      <c r="B1" s="282"/>
      <c r="C1" s="282"/>
      <c r="D1" s="69" t="str">
        <f>Contact!B4</f>
        <v>Tahquamenon Area Schools</v>
      </c>
      <c r="E1" s="69"/>
      <c r="F1" s="69"/>
      <c r="G1" s="69"/>
      <c r="H1" s="69"/>
      <c r="I1" s="69"/>
      <c r="J1" s="69"/>
    </row>
    <row r="2" spans="1:10" ht="15.75">
      <c r="A2" s="278" t="s">
        <v>199</v>
      </c>
      <c r="B2" s="279"/>
      <c r="C2" s="279"/>
      <c r="D2" s="279"/>
      <c r="E2" s="279"/>
      <c r="F2" s="279"/>
      <c r="G2" s="279"/>
      <c r="H2" s="279"/>
      <c r="I2" s="279"/>
      <c r="J2" s="70"/>
    </row>
    <row r="3" spans="1:10" ht="15.75">
      <c r="A3" s="280" t="s">
        <v>0</v>
      </c>
      <c r="B3" s="281"/>
      <c r="C3" s="281"/>
      <c r="D3" s="281"/>
      <c r="E3" s="281"/>
      <c r="F3" s="281"/>
      <c r="G3" s="281"/>
      <c r="H3" s="281"/>
      <c r="I3" s="281"/>
      <c r="J3" s="71"/>
    </row>
    <row r="4" spans="2:7" ht="13.5" thickBot="1">
      <c r="B4" s="27"/>
      <c r="C4" s="27"/>
      <c r="D4" s="27"/>
      <c r="E4" s="27"/>
      <c r="F4" s="27"/>
      <c r="G4" s="27"/>
    </row>
    <row r="5" spans="1:10" ht="12.75">
      <c r="A5" s="80"/>
      <c r="B5" s="81"/>
      <c r="C5" s="81"/>
      <c r="D5" s="82" t="s">
        <v>194</v>
      </c>
      <c r="E5" s="82" t="s">
        <v>195</v>
      </c>
      <c r="F5" s="82" t="s">
        <v>196</v>
      </c>
      <c r="G5" s="82" t="s">
        <v>200</v>
      </c>
      <c r="H5" s="82" t="s">
        <v>201</v>
      </c>
      <c r="I5" s="82" t="s">
        <v>202</v>
      </c>
      <c r="J5" s="283" t="s">
        <v>305</v>
      </c>
    </row>
    <row r="6" spans="1:10" ht="12.75">
      <c r="A6" s="83"/>
      <c r="B6" s="84"/>
      <c r="C6" s="84"/>
      <c r="D6" s="85" t="s">
        <v>355</v>
      </c>
      <c r="E6" s="85" t="s">
        <v>188</v>
      </c>
      <c r="F6" s="85" t="s">
        <v>203</v>
      </c>
      <c r="G6" s="85" t="s">
        <v>204</v>
      </c>
      <c r="H6" s="85" t="s">
        <v>189</v>
      </c>
      <c r="I6" s="85" t="s">
        <v>190</v>
      </c>
      <c r="J6" s="284"/>
    </row>
    <row r="7" spans="1:10" ht="26.25" thickBot="1">
      <c r="A7" s="86"/>
      <c r="B7" s="87" t="s">
        <v>205</v>
      </c>
      <c r="C7" s="88" t="s">
        <v>206</v>
      </c>
      <c r="D7" s="177" t="str">
        <f>Headers!A18</f>
        <v>ELIMINATION PLAN 2015-2016</v>
      </c>
      <c r="E7" s="89" t="s">
        <v>207</v>
      </c>
      <c r="F7" s="89" t="s">
        <v>191</v>
      </c>
      <c r="G7" s="89" t="s">
        <v>203</v>
      </c>
      <c r="H7" s="90"/>
      <c r="I7" s="90"/>
      <c r="J7" s="285"/>
    </row>
    <row r="8" spans="1:10" ht="12.75" customHeight="1">
      <c r="A8" s="68"/>
      <c r="B8" s="77"/>
      <c r="C8" s="77"/>
      <c r="D8" s="78"/>
      <c r="E8" s="77"/>
      <c r="F8" s="77"/>
      <c r="G8" s="77"/>
      <c r="H8" s="68"/>
      <c r="I8" s="79"/>
      <c r="J8" s="164"/>
    </row>
    <row r="9" spans="1:10" ht="12.75">
      <c r="A9" s="44">
        <v>1</v>
      </c>
      <c r="B9" s="44"/>
      <c r="C9" s="18" t="s">
        <v>197</v>
      </c>
      <c r="D9" s="72">
        <f>DEP!E4</f>
        <v>-121846.76769999973</v>
      </c>
      <c r="E9" s="73">
        <v>0</v>
      </c>
      <c r="F9" s="72"/>
      <c r="G9" s="72">
        <f>E9</f>
        <v>0</v>
      </c>
      <c r="H9" s="72">
        <f>+G9-D9</f>
        <v>121846.76769999973</v>
      </c>
      <c r="I9" s="75">
        <f>IF(D9&lt;&gt;0,ROUND(((H9)/D9),4),IF(H9=0,0,1))</f>
        <v>-1</v>
      </c>
      <c r="J9" s="164"/>
    </row>
    <row r="10" spans="1:10" ht="12.75" customHeight="1">
      <c r="A10" s="44">
        <f>+A9+1</f>
        <v>2</v>
      </c>
      <c r="B10" s="44"/>
      <c r="C10" s="18" t="s">
        <v>208</v>
      </c>
      <c r="D10" s="72"/>
      <c r="E10" s="72"/>
      <c r="F10" s="72"/>
      <c r="G10" s="72"/>
      <c r="H10" s="72"/>
      <c r="I10" s="75"/>
      <c r="J10" s="164"/>
    </row>
    <row r="11" spans="1:10" ht="12.75">
      <c r="A11" s="44">
        <f aca="true" t="shared" si="0" ref="A11:A37">+A10+1</f>
        <v>3</v>
      </c>
      <c r="B11" s="44" t="s">
        <v>209</v>
      </c>
      <c r="C11" s="44" t="s">
        <v>198</v>
      </c>
      <c r="D11" s="72">
        <f>DEP!E6</f>
        <v>3227592</v>
      </c>
      <c r="E11" s="73">
        <v>0</v>
      </c>
      <c r="F11" s="73">
        <v>0</v>
      </c>
      <c r="G11" s="74">
        <f aca="true" t="shared" si="1" ref="G11:G16">E11+F11</f>
        <v>0</v>
      </c>
      <c r="H11" s="72">
        <f aca="true" t="shared" si="2" ref="H11:H16">+G11-D11</f>
        <v>-3227592</v>
      </c>
      <c r="I11" s="75">
        <f>IF(D11&lt;&gt;0,ROUND(((H11)/D11),4),IF(H11=0,0,1))</f>
        <v>-1</v>
      </c>
      <c r="J11" s="164"/>
    </row>
    <row r="12" spans="1:10" ht="12.75">
      <c r="A12" s="44">
        <f t="shared" si="0"/>
        <v>4</v>
      </c>
      <c r="B12" s="44" t="s">
        <v>184</v>
      </c>
      <c r="C12" s="44" t="s">
        <v>210</v>
      </c>
      <c r="D12" s="72">
        <f>DEP!E7</f>
        <v>157282</v>
      </c>
      <c r="E12" s="73">
        <v>0</v>
      </c>
      <c r="F12" s="73">
        <v>0</v>
      </c>
      <c r="G12" s="74">
        <f t="shared" si="1"/>
        <v>0</v>
      </c>
      <c r="H12" s="72">
        <f t="shared" si="2"/>
        <v>-157282</v>
      </c>
      <c r="I12" s="75">
        <f aca="true" t="shared" si="3" ref="I12:I18">IF(D12&lt;&gt;0,ROUND(((H12)/D12),4),IF(H12=0,0,1))</f>
        <v>-1</v>
      </c>
      <c r="J12" s="164"/>
    </row>
    <row r="13" spans="1:10" ht="12.75">
      <c r="A13" s="44">
        <f t="shared" si="0"/>
        <v>5</v>
      </c>
      <c r="B13" s="44" t="s">
        <v>121</v>
      </c>
      <c r="C13" s="44" t="s">
        <v>211</v>
      </c>
      <c r="D13" s="72">
        <f>DEP!E8</f>
        <v>0</v>
      </c>
      <c r="E13" s="73">
        <v>0</v>
      </c>
      <c r="F13" s="73">
        <v>0</v>
      </c>
      <c r="G13" s="74">
        <f t="shared" si="1"/>
        <v>0</v>
      </c>
      <c r="H13" s="72">
        <f t="shared" si="2"/>
        <v>0</v>
      </c>
      <c r="I13" s="75">
        <f t="shared" si="3"/>
        <v>0</v>
      </c>
      <c r="J13" s="164"/>
    </row>
    <row r="14" spans="1:10" ht="12.75">
      <c r="A14" s="44">
        <f t="shared" si="0"/>
        <v>6</v>
      </c>
      <c r="B14" s="44" t="s">
        <v>74</v>
      </c>
      <c r="C14" s="44" t="s">
        <v>192</v>
      </c>
      <c r="D14" s="72">
        <f>DEP!E9</f>
        <v>2928765.218</v>
      </c>
      <c r="E14" s="73">
        <v>0</v>
      </c>
      <c r="F14" s="73">
        <v>0</v>
      </c>
      <c r="G14" s="74">
        <f t="shared" si="1"/>
        <v>0</v>
      </c>
      <c r="H14" s="72">
        <f t="shared" si="2"/>
        <v>-2928765.218</v>
      </c>
      <c r="I14" s="75">
        <f t="shared" si="3"/>
        <v>-1</v>
      </c>
      <c r="J14" s="164"/>
    </row>
    <row r="15" spans="1:10" ht="12.75">
      <c r="A15" s="44">
        <f t="shared" si="0"/>
        <v>7</v>
      </c>
      <c r="B15" s="44" t="s">
        <v>52</v>
      </c>
      <c r="C15" s="44" t="s">
        <v>193</v>
      </c>
      <c r="D15" s="72">
        <f>DEP!E10</f>
        <v>445496</v>
      </c>
      <c r="E15" s="73">
        <v>0</v>
      </c>
      <c r="F15" s="73">
        <v>0</v>
      </c>
      <c r="G15" s="74">
        <f t="shared" si="1"/>
        <v>0</v>
      </c>
      <c r="H15" s="72">
        <f t="shared" si="2"/>
        <v>-445496</v>
      </c>
      <c r="I15" s="75">
        <f t="shared" si="3"/>
        <v>-1</v>
      </c>
      <c r="J15" s="164"/>
    </row>
    <row r="16" spans="1:10" ht="12.75">
      <c r="A16" s="44">
        <f t="shared" si="0"/>
        <v>8</v>
      </c>
      <c r="B16" s="44" t="s">
        <v>123</v>
      </c>
      <c r="C16" s="44" t="s">
        <v>212</v>
      </c>
      <c r="D16" s="72">
        <f>DEP!E11</f>
        <v>15000</v>
      </c>
      <c r="E16" s="73">
        <v>0</v>
      </c>
      <c r="F16" s="73">
        <v>0</v>
      </c>
      <c r="G16" s="74">
        <f t="shared" si="1"/>
        <v>0</v>
      </c>
      <c r="H16" s="72">
        <f t="shared" si="2"/>
        <v>-15000</v>
      </c>
      <c r="I16" s="75">
        <f t="shared" si="3"/>
        <v>-1</v>
      </c>
      <c r="J16" s="164"/>
    </row>
    <row r="17" spans="1:10" ht="12.75">
      <c r="A17" s="44">
        <f t="shared" si="0"/>
        <v>9</v>
      </c>
      <c r="B17" s="44"/>
      <c r="C17" s="44" t="s">
        <v>213</v>
      </c>
      <c r="D17" s="72">
        <f>SUM(D10:D16)</f>
        <v>6774135.218</v>
      </c>
      <c r="E17" s="74">
        <f>SUM(E10:E16)</f>
        <v>0</v>
      </c>
      <c r="F17" s="74">
        <f>SUM(F10:F16)</f>
        <v>0</v>
      </c>
      <c r="G17" s="74">
        <f>SUM(G10:G16)</f>
        <v>0</v>
      </c>
      <c r="H17" s="72">
        <f>SUM(H10:H16)</f>
        <v>-6774135.218</v>
      </c>
      <c r="I17" s="75">
        <f t="shared" si="3"/>
        <v>-1</v>
      </c>
      <c r="J17" s="164"/>
    </row>
    <row r="18" spans="1:10" ht="12.75">
      <c r="A18" s="44">
        <f t="shared" si="0"/>
        <v>10</v>
      </c>
      <c r="B18" s="44"/>
      <c r="C18" s="18" t="s">
        <v>126</v>
      </c>
      <c r="D18" s="72">
        <f>DEP!E13</f>
        <v>6652288.450300001</v>
      </c>
      <c r="E18" s="72"/>
      <c r="F18" s="72"/>
      <c r="G18" s="74">
        <f>G9+G17</f>
        <v>0</v>
      </c>
      <c r="H18" s="72">
        <f>+H9+H17</f>
        <v>-6652288.450300001</v>
      </c>
      <c r="I18" s="75">
        <f t="shared" si="3"/>
        <v>-1</v>
      </c>
      <c r="J18" s="164"/>
    </row>
    <row r="19" spans="1:10" ht="12.75">
      <c r="A19" s="44">
        <f t="shared" si="0"/>
        <v>11</v>
      </c>
      <c r="B19" s="44"/>
      <c r="C19" s="18" t="s">
        <v>127</v>
      </c>
      <c r="D19" s="72"/>
      <c r="E19" s="72"/>
      <c r="F19" s="72"/>
      <c r="G19" s="74"/>
      <c r="H19" s="72"/>
      <c r="I19" s="76"/>
      <c r="J19" s="164"/>
    </row>
    <row r="20" spans="1:10" ht="12.75">
      <c r="A20" s="44">
        <f t="shared" si="0"/>
        <v>12</v>
      </c>
      <c r="B20" s="44" t="s">
        <v>128</v>
      </c>
      <c r="C20" s="44" t="s">
        <v>214</v>
      </c>
      <c r="D20" s="72">
        <f>DEP!E15</f>
        <v>4230394.21</v>
      </c>
      <c r="E20" s="73">
        <v>0</v>
      </c>
      <c r="F20" s="73">
        <v>0</v>
      </c>
      <c r="G20" s="74">
        <f>E20+F20</f>
        <v>0</v>
      </c>
      <c r="H20" s="72">
        <f>+G20-D20</f>
        <v>-4230394.21</v>
      </c>
      <c r="I20" s="75">
        <f>IF(D20&lt;&gt;0,ROUND(((H20)/D20),4),IF(H20=0,0,1))</f>
        <v>-1</v>
      </c>
      <c r="J20" s="164"/>
    </row>
    <row r="21" spans="1:10" ht="12.75">
      <c r="A21" s="44">
        <f t="shared" si="0"/>
        <v>13</v>
      </c>
      <c r="B21" s="44"/>
      <c r="C21" s="44" t="s">
        <v>215</v>
      </c>
      <c r="D21" s="72"/>
      <c r="E21" s="72"/>
      <c r="F21" s="72"/>
      <c r="G21" s="74"/>
      <c r="H21" s="72"/>
      <c r="I21" s="76"/>
      <c r="J21" s="164"/>
    </row>
    <row r="22" spans="1:10" ht="12.75">
      <c r="A22" s="44">
        <f t="shared" si="0"/>
        <v>14</v>
      </c>
      <c r="B22" s="44" t="s">
        <v>43</v>
      </c>
      <c r="C22" s="44" t="s">
        <v>216</v>
      </c>
      <c r="D22" s="72">
        <f>DEP!E17</f>
        <v>143648.62</v>
      </c>
      <c r="E22" s="73">
        <v>0</v>
      </c>
      <c r="F22" s="73">
        <v>0</v>
      </c>
      <c r="G22" s="74">
        <f aca="true" t="shared" si="4" ref="G22:G35">E22+F22</f>
        <v>0</v>
      </c>
      <c r="H22" s="72">
        <f aca="true" t="shared" si="5" ref="H22:H35">+G22-D22</f>
        <v>-143648.62</v>
      </c>
      <c r="I22" s="75">
        <f aca="true" t="shared" si="6" ref="I22:I36">IF(D22&lt;&gt;0,ROUND(((H22)/D22),4),IF(H22=0,0,1))</f>
        <v>-1</v>
      </c>
      <c r="J22" s="164"/>
    </row>
    <row r="23" spans="1:10" ht="12.75">
      <c r="A23" s="44">
        <f t="shared" si="0"/>
        <v>15</v>
      </c>
      <c r="B23" s="44" t="s">
        <v>44</v>
      </c>
      <c r="C23" s="44" t="s">
        <v>217</v>
      </c>
      <c r="D23" s="72">
        <f>DEP!E18</f>
        <v>159991.83000000002</v>
      </c>
      <c r="E23" s="73">
        <v>0</v>
      </c>
      <c r="F23" s="73">
        <v>0</v>
      </c>
      <c r="G23" s="74">
        <f t="shared" si="4"/>
        <v>0</v>
      </c>
      <c r="H23" s="72">
        <f t="shared" si="5"/>
        <v>-159991.83000000002</v>
      </c>
      <c r="I23" s="75">
        <f t="shared" si="6"/>
        <v>-1</v>
      </c>
      <c r="J23" s="164"/>
    </row>
    <row r="24" spans="1:10" ht="12.75">
      <c r="A24" s="44">
        <f t="shared" si="0"/>
        <v>16</v>
      </c>
      <c r="B24" s="44" t="s">
        <v>45</v>
      </c>
      <c r="C24" s="44" t="s">
        <v>218</v>
      </c>
      <c r="D24" s="72">
        <f>DEP!E19</f>
        <v>287150.8</v>
      </c>
      <c r="E24" s="73">
        <v>0</v>
      </c>
      <c r="F24" s="73">
        <v>0</v>
      </c>
      <c r="G24" s="74">
        <f t="shared" si="4"/>
        <v>0</v>
      </c>
      <c r="H24" s="72">
        <f t="shared" si="5"/>
        <v>-287150.8</v>
      </c>
      <c r="I24" s="75">
        <f t="shared" si="6"/>
        <v>-1</v>
      </c>
      <c r="J24" s="164"/>
    </row>
    <row r="25" spans="1:10" ht="12.75">
      <c r="A25" s="44">
        <f t="shared" si="0"/>
        <v>17</v>
      </c>
      <c r="B25" s="44" t="s">
        <v>46</v>
      </c>
      <c r="C25" s="44" t="s">
        <v>219</v>
      </c>
      <c r="D25" s="72">
        <f>DEP!E20</f>
        <v>325791</v>
      </c>
      <c r="E25" s="73">
        <v>0</v>
      </c>
      <c r="F25" s="73">
        <v>0</v>
      </c>
      <c r="G25" s="74">
        <f t="shared" si="4"/>
        <v>0</v>
      </c>
      <c r="H25" s="72">
        <f t="shared" si="5"/>
        <v>-325791</v>
      </c>
      <c r="I25" s="75">
        <f t="shared" si="6"/>
        <v>-1</v>
      </c>
      <c r="J25" s="164"/>
    </row>
    <row r="26" spans="1:10" ht="12.75">
      <c r="A26" s="44">
        <f t="shared" si="0"/>
        <v>18</v>
      </c>
      <c r="B26" s="44" t="s">
        <v>47</v>
      </c>
      <c r="C26" s="44" t="s">
        <v>220</v>
      </c>
      <c r="D26" s="72">
        <f>DEP!E21</f>
        <v>221245.5</v>
      </c>
      <c r="E26" s="73">
        <v>0</v>
      </c>
      <c r="F26" s="73">
        <v>0</v>
      </c>
      <c r="G26" s="74">
        <f t="shared" si="4"/>
        <v>0</v>
      </c>
      <c r="H26" s="72">
        <f t="shared" si="5"/>
        <v>-221245.5</v>
      </c>
      <c r="I26" s="75">
        <f t="shared" si="6"/>
        <v>-1</v>
      </c>
      <c r="J26" s="164"/>
    </row>
    <row r="27" spans="1:10" ht="12.75">
      <c r="A27" s="44">
        <f t="shared" si="0"/>
        <v>19</v>
      </c>
      <c r="B27" s="44" t="s">
        <v>48</v>
      </c>
      <c r="C27" s="44" t="s">
        <v>221</v>
      </c>
      <c r="D27" s="72">
        <f>DEP!E22</f>
        <v>478580.93</v>
      </c>
      <c r="E27" s="73">
        <v>0</v>
      </c>
      <c r="F27" s="73">
        <v>0</v>
      </c>
      <c r="G27" s="74">
        <f t="shared" si="4"/>
        <v>0</v>
      </c>
      <c r="H27" s="72">
        <f t="shared" si="5"/>
        <v>-478580.93</v>
      </c>
      <c r="I27" s="75">
        <f t="shared" si="6"/>
        <v>-1</v>
      </c>
      <c r="J27" s="164"/>
    </row>
    <row r="28" spans="1:10" ht="12.75">
      <c r="A28" s="44">
        <f t="shared" si="0"/>
        <v>20</v>
      </c>
      <c r="B28" s="44" t="s">
        <v>49</v>
      </c>
      <c r="C28" s="44" t="s">
        <v>135</v>
      </c>
      <c r="D28" s="72">
        <f>DEP!E23</f>
        <v>464597.7</v>
      </c>
      <c r="E28" s="73">
        <v>0</v>
      </c>
      <c r="F28" s="73">
        <v>0</v>
      </c>
      <c r="G28" s="74">
        <f t="shared" si="4"/>
        <v>0</v>
      </c>
      <c r="H28" s="72">
        <f t="shared" si="5"/>
        <v>-464597.7</v>
      </c>
      <c r="I28" s="75">
        <f t="shared" si="6"/>
        <v>-1</v>
      </c>
      <c r="J28" s="164"/>
    </row>
    <row r="29" spans="1:10" ht="12.75">
      <c r="A29" s="44">
        <f t="shared" si="0"/>
        <v>21</v>
      </c>
      <c r="B29" s="44" t="s">
        <v>50</v>
      </c>
      <c r="C29" s="44" t="s">
        <v>222</v>
      </c>
      <c r="D29" s="72">
        <f>DEP!E24</f>
        <v>135971.57</v>
      </c>
      <c r="E29" s="73">
        <v>0</v>
      </c>
      <c r="F29" s="73">
        <v>0</v>
      </c>
      <c r="G29" s="74">
        <f t="shared" si="4"/>
        <v>0</v>
      </c>
      <c r="H29" s="72">
        <f t="shared" si="5"/>
        <v>-135971.57</v>
      </c>
      <c r="I29" s="75">
        <f t="shared" si="6"/>
        <v>-1</v>
      </c>
      <c r="J29" s="164"/>
    </row>
    <row r="30" spans="1:10" ht="12.75">
      <c r="A30" s="44">
        <f t="shared" si="0"/>
        <v>22</v>
      </c>
      <c r="B30" s="44" t="s">
        <v>51</v>
      </c>
      <c r="C30" s="44" t="s">
        <v>40</v>
      </c>
      <c r="D30" s="72">
        <f>DEP!E25</f>
        <v>117150.16</v>
      </c>
      <c r="E30" s="73">
        <v>0</v>
      </c>
      <c r="F30" s="73">
        <v>0</v>
      </c>
      <c r="G30" s="74">
        <f t="shared" si="4"/>
        <v>0</v>
      </c>
      <c r="H30" s="72">
        <f t="shared" si="5"/>
        <v>-117150.16</v>
      </c>
      <c r="I30" s="75">
        <f t="shared" si="6"/>
        <v>-1</v>
      </c>
      <c r="J30" s="164"/>
    </row>
    <row r="31" spans="1:10" ht="12.75">
      <c r="A31" s="44">
        <f t="shared" si="0"/>
        <v>23</v>
      </c>
      <c r="B31" s="44" t="s">
        <v>74</v>
      </c>
      <c r="C31" s="44" t="s">
        <v>138</v>
      </c>
      <c r="D31" s="72">
        <f>DEP!E26</f>
        <v>1627.71</v>
      </c>
      <c r="E31" s="73">
        <v>0</v>
      </c>
      <c r="F31" s="73">
        <v>0</v>
      </c>
      <c r="G31" s="74">
        <f t="shared" si="4"/>
        <v>0</v>
      </c>
      <c r="H31" s="72">
        <f t="shared" si="5"/>
        <v>-1627.71</v>
      </c>
      <c r="I31" s="75">
        <f t="shared" si="6"/>
        <v>-1</v>
      </c>
      <c r="J31" s="164"/>
    </row>
    <row r="32" spans="1:10" ht="12.75">
      <c r="A32" s="44">
        <f t="shared" si="0"/>
        <v>24</v>
      </c>
      <c r="B32" s="44" t="s">
        <v>223</v>
      </c>
      <c r="C32" s="44" t="s">
        <v>140</v>
      </c>
      <c r="D32" s="72">
        <f>DEP!E27</f>
        <v>0</v>
      </c>
      <c r="E32" s="73">
        <v>0</v>
      </c>
      <c r="F32" s="73">
        <v>0</v>
      </c>
      <c r="G32" s="74">
        <f t="shared" si="4"/>
        <v>0</v>
      </c>
      <c r="H32" s="72">
        <f t="shared" si="5"/>
        <v>0</v>
      </c>
      <c r="I32" s="75">
        <f t="shared" si="6"/>
        <v>0</v>
      </c>
      <c r="J32" s="164"/>
    </row>
    <row r="33" spans="1:10" ht="12.75">
      <c r="A33" s="44">
        <f t="shared" si="0"/>
        <v>25</v>
      </c>
      <c r="B33" s="44" t="s">
        <v>141</v>
      </c>
      <c r="C33" s="44" t="s">
        <v>224</v>
      </c>
      <c r="D33" s="72">
        <f>DEP!E28</f>
        <v>0</v>
      </c>
      <c r="E33" s="73">
        <v>0</v>
      </c>
      <c r="F33" s="73">
        <v>0</v>
      </c>
      <c r="G33" s="74">
        <f t="shared" si="4"/>
        <v>0</v>
      </c>
      <c r="H33" s="72">
        <f t="shared" si="5"/>
        <v>0</v>
      </c>
      <c r="I33" s="75">
        <f t="shared" si="6"/>
        <v>0</v>
      </c>
      <c r="J33" s="164"/>
    </row>
    <row r="34" spans="1:10" ht="12.75">
      <c r="A34" s="44">
        <f t="shared" si="0"/>
        <v>26</v>
      </c>
      <c r="B34" s="44" t="s">
        <v>120</v>
      </c>
      <c r="C34" s="44" t="s">
        <v>143</v>
      </c>
      <c r="D34" s="72">
        <f>DEP!E29</f>
        <v>0</v>
      </c>
      <c r="E34" s="73">
        <v>0</v>
      </c>
      <c r="F34" s="73">
        <v>0</v>
      </c>
      <c r="G34" s="74">
        <f t="shared" si="4"/>
        <v>0</v>
      </c>
      <c r="H34" s="72">
        <f t="shared" si="5"/>
        <v>0</v>
      </c>
      <c r="I34" s="75">
        <f t="shared" si="6"/>
        <v>0</v>
      </c>
      <c r="J34" s="164"/>
    </row>
    <row r="35" spans="1:10" ht="12.75">
      <c r="A35" s="44">
        <f t="shared" si="0"/>
        <v>27</v>
      </c>
      <c r="B35" s="44" t="s">
        <v>53</v>
      </c>
      <c r="C35" s="44" t="s">
        <v>144</v>
      </c>
      <c r="D35" s="72">
        <f>DEP!E30</f>
        <v>0</v>
      </c>
      <c r="E35" s="73">
        <v>0</v>
      </c>
      <c r="F35" s="73">
        <v>0</v>
      </c>
      <c r="G35" s="74">
        <f t="shared" si="4"/>
        <v>0</v>
      </c>
      <c r="H35" s="72">
        <f t="shared" si="5"/>
        <v>0</v>
      </c>
      <c r="I35" s="75">
        <f t="shared" si="6"/>
        <v>0</v>
      </c>
      <c r="J35" s="164"/>
    </row>
    <row r="36" spans="1:10" ht="12.75">
      <c r="A36" s="44">
        <f t="shared" si="0"/>
        <v>28</v>
      </c>
      <c r="B36" s="44"/>
      <c r="C36" s="18" t="s">
        <v>225</v>
      </c>
      <c r="D36" s="72">
        <f>DEP!E31</f>
        <v>6566150.03</v>
      </c>
      <c r="E36" s="72">
        <f>SUM(E20:E35)</f>
        <v>0</v>
      </c>
      <c r="F36" s="72">
        <f>SUM(F20:F35)</f>
        <v>0</v>
      </c>
      <c r="G36" s="74">
        <f>SUM(G20:G35)</f>
        <v>0</v>
      </c>
      <c r="H36" s="72">
        <f>SUM(H20:H35)</f>
        <v>-6566150.03</v>
      </c>
      <c r="I36" s="75">
        <f t="shared" si="6"/>
        <v>-1</v>
      </c>
      <c r="J36" s="164"/>
    </row>
    <row r="37" spans="1:10" ht="12.75">
      <c r="A37" s="44">
        <f t="shared" si="0"/>
        <v>29</v>
      </c>
      <c r="B37" s="44"/>
      <c r="C37" s="18" t="s">
        <v>146</v>
      </c>
      <c r="D37" s="72">
        <f>DEP!E32</f>
        <v>86138.42030000035</v>
      </c>
      <c r="E37" s="72"/>
      <c r="F37" s="72"/>
      <c r="G37" s="74">
        <f>G18-G36</f>
        <v>0</v>
      </c>
      <c r="H37" s="72"/>
      <c r="I37" s="76"/>
      <c r="J37" s="164"/>
    </row>
    <row r="38" spans="2:10" ht="12.75">
      <c r="B38" s="28"/>
      <c r="C38" s="28"/>
      <c r="D38" s="28"/>
      <c r="E38" s="28"/>
      <c r="F38" s="28"/>
      <c r="G38" s="3"/>
      <c r="H38" s="178"/>
      <c r="I38" s="3"/>
      <c r="J38" s="28"/>
    </row>
    <row r="39" spans="2:10" ht="12.75">
      <c r="B39" s="179" t="s">
        <v>357</v>
      </c>
      <c r="C39" s="179"/>
      <c r="D39" s="179"/>
      <c r="E39" s="179"/>
      <c r="F39" s="179"/>
      <c r="G39" s="3"/>
      <c r="H39" s="178"/>
      <c r="I39" s="3"/>
      <c r="J39" s="28"/>
    </row>
    <row r="40" spans="2:10" ht="12.75">
      <c r="B40" s="180"/>
      <c r="C40" s="192"/>
      <c r="D40" s="192"/>
      <c r="E40" s="192"/>
      <c r="F40" s="192"/>
      <c r="G40" s="181"/>
      <c r="H40" s="182"/>
      <c r="I40" s="181"/>
      <c r="J40" s="183"/>
    </row>
    <row r="41" spans="2:10" ht="12.75">
      <c r="B41" s="184"/>
      <c r="C41" s="193"/>
      <c r="D41" s="193"/>
      <c r="E41" s="193"/>
      <c r="F41" s="193"/>
      <c r="G41" s="185"/>
      <c r="H41" s="186"/>
      <c r="I41" s="185"/>
      <c r="J41" s="187"/>
    </row>
    <row r="42" spans="2:10" ht="12.75">
      <c r="B42" s="184"/>
      <c r="C42" s="193"/>
      <c r="D42" s="193"/>
      <c r="E42" s="193"/>
      <c r="F42" s="193"/>
      <c r="G42" s="185"/>
      <c r="H42" s="186"/>
      <c r="I42" s="185"/>
      <c r="J42" s="187"/>
    </row>
    <row r="43" spans="2:10" ht="12.75">
      <c r="B43" s="184"/>
      <c r="C43" s="193"/>
      <c r="D43" s="193"/>
      <c r="E43" s="193"/>
      <c r="F43" s="193"/>
      <c r="G43" s="185"/>
      <c r="H43" s="186"/>
      <c r="I43" s="185"/>
      <c r="J43" s="187"/>
    </row>
    <row r="44" spans="2:10" ht="12.75">
      <c r="B44" s="184"/>
      <c r="C44" s="193"/>
      <c r="D44" s="193"/>
      <c r="E44" s="193"/>
      <c r="F44" s="193"/>
      <c r="G44" s="185"/>
      <c r="H44" s="186"/>
      <c r="I44" s="185"/>
      <c r="J44" s="187"/>
    </row>
    <row r="45" spans="2:10" ht="12.75">
      <c r="B45" s="184"/>
      <c r="C45" s="193"/>
      <c r="D45" s="193"/>
      <c r="E45" s="193"/>
      <c r="F45" s="193"/>
      <c r="G45" s="185"/>
      <c r="H45" s="186"/>
      <c r="I45" s="185"/>
      <c r="J45" s="187"/>
    </row>
    <row r="46" spans="2:10" ht="12.75">
      <c r="B46" s="184"/>
      <c r="C46" s="193"/>
      <c r="D46" s="193"/>
      <c r="E46" s="193"/>
      <c r="F46" s="193"/>
      <c r="G46" s="185"/>
      <c r="H46" s="186"/>
      <c r="I46" s="185"/>
      <c r="J46" s="187"/>
    </row>
    <row r="47" spans="2:10" ht="12.75">
      <c r="B47" s="184"/>
      <c r="C47" s="193"/>
      <c r="D47" s="193"/>
      <c r="E47" s="193"/>
      <c r="F47" s="193"/>
      <c r="G47" s="185"/>
      <c r="H47" s="186"/>
      <c r="I47" s="185"/>
      <c r="J47" s="187"/>
    </row>
    <row r="48" spans="2:10" ht="12.75">
      <c r="B48" s="184"/>
      <c r="C48" s="193"/>
      <c r="D48" s="193"/>
      <c r="E48" s="193"/>
      <c r="F48" s="193"/>
      <c r="G48" s="185"/>
      <c r="H48" s="186"/>
      <c r="I48" s="185"/>
      <c r="J48" s="187"/>
    </row>
    <row r="49" spans="2:10" ht="12.75">
      <c r="B49" s="188"/>
      <c r="C49" s="194"/>
      <c r="D49" s="194"/>
      <c r="E49" s="194"/>
      <c r="F49" s="194"/>
      <c r="G49" s="189"/>
      <c r="H49" s="190"/>
      <c r="I49" s="189"/>
      <c r="J49" s="191"/>
    </row>
  </sheetData>
  <sheetProtection password="CAD5" sheet="1"/>
  <mergeCells count="4">
    <mergeCell ref="A2:I2"/>
    <mergeCell ref="A3:I3"/>
    <mergeCell ref="A1:C1"/>
    <mergeCell ref="J5:J7"/>
  </mergeCells>
  <conditionalFormatting sqref="B40:J49 A1:J8 A10:J37 A9:F9 J9">
    <cfRule type="expression" priority="3" dxfId="0" stopIfTrue="1">
      <formula>CELL("protect",A1)</formula>
    </cfRule>
  </conditionalFormatting>
  <conditionalFormatting sqref="A38:A49 B38:J39">
    <cfRule type="expression" priority="4" dxfId="0" stopIfTrue="1">
      <formula>CELL("protect",$A$1)</formula>
    </cfRule>
  </conditionalFormatting>
  <conditionalFormatting sqref="G9:I9">
    <cfRule type="expression" priority="1" dxfId="0" stopIfTrue="1">
      <formula>CELL("protect",G9)</formula>
    </cfRule>
  </conditionalFormatting>
  <printOptions/>
  <pageMargins left="0.75" right="0.75" top="1" bottom="1" header="0.5" footer="0.5"/>
  <pageSetup blackAndWhite="1" fitToHeight="1" fitToWidth="1" horizontalDpi="600" verticalDpi="600" orientation="landscape" scale="74"/>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C1"/>
    </sheetView>
  </sheetViews>
  <sheetFormatPr defaultColWidth="9.140625" defaultRowHeight="12.75"/>
  <cols>
    <col min="1" max="1" width="4.140625" style="4" bestFit="1" customWidth="1"/>
    <col min="2" max="2" width="8.140625" style="4" customWidth="1"/>
    <col min="3" max="3" width="38.421875" style="4" bestFit="1" customWidth="1"/>
    <col min="4" max="4" width="15.421875" style="4" bestFit="1" customWidth="1"/>
    <col min="5" max="5" width="17.421875" style="4" customWidth="1"/>
    <col min="6" max="6" width="16.00390625" style="4" customWidth="1"/>
    <col min="7" max="7" width="15.00390625" style="4" customWidth="1"/>
    <col min="8" max="8" width="16.421875" style="4" bestFit="1" customWidth="1"/>
    <col min="9" max="9" width="12.7109375" style="4" bestFit="1" customWidth="1"/>
    <col min="10" max="10" width="21.7109375" style="4" customWidth="1"/>
    <col min="11" max="16384" width="11.421875" style="4" customWidth="1"/>
  </cols>
  <sheetData>
    <row r="1" spans="1:10" ht="15.75">
      <c r="A1" s="282" t="s">
        <v>226</v>
      </c>
      <c r="B1" s="282"/>
      <c r="C1" s="282"/>
      <c r="D1" s="69" t="str">
        <f>Contact!B4</f>
        <v>Tahquamenon Area Schools</v>
      </c>
      <c r="E1" s="69"/>
      <c r="F1" s="69"/>
      <c r="G1" s="69"/>
      <c r="H1" s="69"/>
      <c r="I1" s="69"/>
      <c r="J1" s="69"/>
    </row>
    <row r="2" spans="1:10" ht="15.75">
      <c r="A2" s="278" t="s">
        <v>199</v>
      </c>
      <c r="B2" s="279"/>
      <c r="C2" s="279"/>
      <c r="D2" s="279"/>
      <c r="E2" s="279"/>
      <c r="F2" s="279"/>
      <c r="G2" s="279"/>
      <c r="H2" s="279"/>
      <c r="I2" s="279"/>
      <c r="J2" s="70"/>
    </row>
    <row r="3" spans="1:10" ht="15.75">
      <c r="A3" s="280" t="s">
        <v>0</v>
      </c>
      <c r="B3" s="281"/>
      <c r="C3" s="281"/>
      <c r="D3" s="281"/>
      <c r="E3" s="281"/>
      <c r="F3" s="281"/>
      <c r="G3" s="281"/>
      <c r="H3" s="281"/>
      <c r="I3" s="281"/>
      <c r="J3" s="71"/>
    </row>
    <row r="4" spans="2:7" ht="13.5" thickBot="1">
      <c r="B4" s="27"/>
      <c r="C4" s="27"/>
      <c r="D4" s="27"/>
      <c r="E4" s="27"/>
      <c r="F4" s="27"/>
      <c r="G4" s="27"/>
    </row>
    <row r="5" spans="1:10" ht="12.75">
      <c r="A5" s="80"/>
      <c r="B5" s="81"/>
      <c r="C5" s="81"/>
      <c r="D5" s="82" t="s">
        <v>194</v>
      </c>
      <c r="E5" s="82" t="s">
        <v>195</v>
      </c>
      <c r="F5" s="82" t="s">
        <v>196</v>
      </c>
      <c r="G5" s="82" t="s">
        <v>200</v>
      </c>
      <c r="H5" s="82" t="s">
        <v>201</v>
      </c>
      <c r="I5" s="82" t="s">
        <v>202</v>
      </c>
      <c r="J5" s="283" t="s">
        <v>305</v>
      </c>
    </row>
    <row r="6" spans="1:10" ht="12.75">
      <c r="A6" s="83"/>
      <c r="B6" s="84"/>
      <c r="C6" s="84"/>
      <c r="D6" s="85" t="s">
        <v>355</v>
      </c>
      <c r="E6" s="85" t="s">
        <v>188</v>
      </c>
      <c r="F6" s="85" t="s">
        <v>203</v>
      </c>
      <c r="G6" s="85" t="s">
        <v>204</v>
      </c>
      <c r="H6" s="85" t="s">
        <v>189</v>
      </c>
      <c r="I6" s="85" t="s">
        <v>190</v>
      </c>
      <c r="J6" s="284"/>
    </row>
    <row r="7" spans="1:10" ht="26.25" thickBot="1">
      <c r="A7" s="86"/>
      <c r="B7" s="87" t="s">
        <v>205</v>
      </c>
      <c r="C7" s="88" t="s">
        <v>206</v>
      </c>
      <c r="D7" s="177" t="str">
        <f>Headers!A19</f>
        <v>ELIMINATION PLAN 2016-2017</v>
      </c>
      <c r="E7" s="89" t="s">
        <v>207</v>
      </c>
      <c r="F7" s="89" t="s">
        <v>191</v>
      </c>
      <c r="G7" s="89" t="s">
        <v>203</v>
      </c>
      <c r="H7" s="90"/>
      <c r="I7" s="90"/>
      <c r="J7" s="285"/>
    </row>
    <row r="8" spans="1:10" ht="12.75" customHeight="1">
      <c r="A8" s="68"/>
      <c r="B8" s="77"/>
      <c r="C8" s="77"/>
      <c r="D8" s="78"/>
      <c r="E8" s="77"/>
      <c r="F8" s="77"/>
      <c r="G8" s="77"/>
      <c r="H8" s="68"/>
      <c r="I8" s="79"/>
      <c r="J8" s="164"/>
    </row>
    <row r="9" spans="1:10" ht="12.75">
      <c r="A9" s="44">
        <v>1</v>
      </c>
      <c r="B9" s="44"/>
      <c r="C9" s="18" t="s">
        <v>197</v>
      </c>
      <c r="D9" s="72">
        <f>DEP!H4</f>
        <v>86138.42030000035</v>
      </c>
      <c r="E9" s="73">
        <v>0</v>
      </c>
      <c r="F9" s="72"/>
      <c r="G9" s="72">
        <f>E9</f>
        <v>0</v>
      </c>
      <c r="H9" s="72">
        <f>+G9-D9</f>
        <v>-86138.42030000035</v>
      </c>
      <c r="I9" s="75">
        <f>IF(D9&lt;&gt;0,ROUND(((H9)/D9),4),IF(H9=0,0,1))</f>
        <v>-1</v>
      </c>
      <c r="J9" s="164"/>
    </row>
    <row r="10" spans="1:10" ht="12.75" customHeight="1">
      <c r="A10" s="44">
        <f aca="true" t="shared" si="0" ref="A10:A37">+A9+1</f>
        <v>2</v>
      </c>
      <c r="B10" s="44"/>
      <c r="C10" s="18" t="s">
        <v>208</v>
      </c>
      <c r="D10" s="72"/>
      <c r="E10" s="72"/>
      <c r="F10" s="72"/>
      <c r="G10" s="72"/>
      <c r="H10" s="72"/>
      <c r="I10" s="75"/>
      <c r="J10" s="164"/>
    </row>
    <row r="11" spans="1:10" ht="12.75">
      <c r="A11" s="44">
        <f t="shared" si="0"/>
        <v>3</v>
      </c>
      <c r="B11" s="44" t="s">
        <v>209</v>
      </c>
      <c r="C11" s="44" t="s">
        <v>198</v>
      </c>
      <c r="D11" s="72">
        <f>DEP!H6</f>
        <v>3258754.92</v>
      </c>
      <c r="E11" s="73">
        <v>0</v>
      </c>
      <c r="F11" s="73">
        <v>0</v>
      </c>
      <c r="G11" s="74">
        <f aca="true" t="shared" si="1" ref="G11:G16">E11+F11</f>
        <v>0</v>
      </c>
      <c r="H11" s="72">
        <f aca="true" t="shared" si="2" ref="H11:H16">+G11-D11</f>
        <v>-3258754.92</v>
      </c>
      <c r="I11" s="75">
        <f aca="true" t="shared" si="3" ref="I11:I18">IF(D11&lt;&gt;0,ROUND(((H11)/D11),4),IF(H11=0,0,1))</f>
        <v>-1</v>
      </c>
      <c r="J11" s="164"/>
    </row>
    <row r="12" spans="1:10" ht="12.75">
      <c r="A12" s="44">
        <f t="shared" si="0"/>
        <v>4</v>
      </c>
      <c r="B12" s="44" t="s">
        <v>184</v>
      </c>
      <c r="C12" s="44" t="s">
        <v>210</v>
      </c>
      <c r="D12" s="72">
        <f>DEP!H7</f>
        <v>157000</v>
      </c>
      <c r="E12" s="73">
        <v>0</v>
      </c>
      <c r="F12" s="73">
        <v>0</v>
      </c>
      <c r="G12" s="74">
        <f t="shared" si="1"/>
        <v>0</v>
      </c>
      <c r="H12" s="72">
        <f t="shared" si="2"/>
        <v>-157000</v>
      </c>
      <c r="I12" s="75">
        <f t="shared" si="3"/>
        <v>-1</v>
      </c>
      <c r="J12" s="164"/>
    </row>
    <row r="13" spans="1:10" ht="12.75">
      <c r="A13" s="44">
        <f t="shared" si="0"/>
        <v>5</v>
      </c>
      <c r="B13" s="44" t="s">
        <v>121</v>
      </c>
      <c r="C13" s="44" t="s">
        <v>211</v>
      </c>
      <c r="D13" s="72">
        <f>DEP!H8</f>
        <v>0</v>
      </c>
      <c r="E13" s="73">
        <v>0</v>
      </c>
      <c r="F13" s="73">
        <v>0</v>
      </c>
      <c r="G13" s="74">
        <f t="shared" si="1"/>
        <v>0</v>
      </c>
      <c r="H13" s="72">
        <f t="shared" si="2"/>
        <v>0</v>
      </c>
      <c r="I13" s="75">
        <f t="shared" si="3"/>
        <v>0</v>
      </c>
      <c r="J13" s="164"/>
    </row>
    <row r="14" spans="1:10" ht="12.75">
      <c r="A14" s="44">
        <f t="shared" si="0"/>
        <v>6</v>
      </c>
      <c r="B14" s="44" t="s">
        <v>74</v>
      </c>
      <c r="C14" s="44" t="s">
        <v>192</v>
      </c>
      <c r="D14" s="72">
        <f>DEP!H9</f>
        <v>2878933.6100000003</v>
      </c>
      <c r="E14" s="73">
        <v>0</v>
      </c>
      <c r="F14" s="73">
        <v>0</v>
      </c>
      <c r="G14" s="74">
        <f t="shared" si="1"/>
        <v>0</v>
      </c>
      <c r="H14" s="72">
        <f t="shared" si="2"/>
        <v>-2878933.6100000003</v>
      </c>
      <c r="I14" s="75">
        <f t="shared" si="3"/>
        <v>-1</v>
      </c>
      <c r="J14" s="164"/>
    </row>
    <row r="15" spans="1:10" ht="12.75">
      <c r="A15" s="44">
        <f t="shared" si="0"/>
        <v>7</v>
      </c>
      <c r="B15" s="44" t="s">
        <v>52</v>
      </c>
      <c r="C15" s="44" t="s">
        <v>193</v>
      </c>
      <c r="D15" s="72">
        <f>DEP!H10</f>
        <v>440539</v>
      </c>
      <c r="E15" s="73">
        <v>0</v>
      </c>
      <c r="F15" s="73">
        <v>0</v>
      </c>
      <c r="G15" s="74">
        <f t="shared" si="1"/>
        <v>0</v>
      </c>
      <c r="H15" s="72">
        <f t="shared" si="2"/>
        <v>-440539</v>
      </c>
      <c r="I15" s="75">
        <f t="shared" si="3"/>
        <v>-1</v>
      </c>
      <c r="J15" s="164"/>
    </row>
    <row r="16" spans="1:10" ht="12.75">
      <c r="A16" s="44">
        <f t="shared" si="0"/>
        <v>8</v>
      </c>
      <c r="B16" s="44" t="s">
        <v>123</v>
      </c>
      <c r="C16" s="44" t="s">
        <v>212</v>
      </c>
      <c r="D16" s="72">
        <f>DEP!H11</f>
        <v>15000</v>
      </c>
      <c r="E16" s="73">
        <v>0</v>
      </c>
      <c r="F16" s="73">
        <v>0</v>
      </c>
      <c r="G16" s="74">
        <f t="shared" si="1"/>
        <v>0</v>
      </c>
      <c r="H16" s="72">
        <f t="shared" si="2"/>
        <v>-15000</v>
      </c>
      <c r="I16" s="75">
        <f t="shared" si="3"/>
        <v>-1</v>
      </c>
      <c r="J16" s="164"/>
    </row>
    <row r="17" spans="1:10" ht="12.75">
      <c r="A17" s="44">
        <f t="shared" si="0"/>
        <v>9</v>
      </c>
      <c r="B17" s="44"/>
      <c r="C17" s="44" t="s">
        <v>213</v>
      </c>
      <c r="D17" s="72">
        <f>SUM(D10:D16)</f>
        <v>6750227.53</v>
      </c>
      <c r="E17" s="74">
        <f>SUM(E10:E16)</f>
        <v>0</v>
      </c>
      <c r="F17" s="74">
        <f>SUM(F10:F16)</f>
        <v>0</v>
      </c>
      <c r="G17" s="74">
        <f>SUM(G10:G16)</f>
        <v>0</v>
      </c>
      <c r="H17" s="72">
        <f>SUM(H10:H16)</f>
        <v>-6750227.53</v>
      </c>
      <c r="I17" s="75">
        <f t="shared" si="3"/>
        <v>-1</v>
      </c>
      <c r="J17" s="164"/>
    </row>
    <row r="18" spans="1:10" ht="12.75">
      <c r="A18" s="44">
        <f t="shared" si="0"/>
        <v>10</v>
      </c>
      <c r="B18" s="44"/>
      <c r="C18" s="18" t="s">
        <v>126</v>
      </c>
      <c r="D18" s="72">
        <f>DEP!H13</f>
        <v>6836365.950300001</v>
      </c>
      <c r="E18" s="72"/>
      <c r="F18" s="72"/>
      <c r="G18" s="74">
        <f>G9+G17</f>
        <v>0</v>
      </c>
      <c r="H18" s="72">
        <f>+H9+H17</f>
        <v>-6836365.950300001</v>
      </c>
      <c r="I18" s="75">
        <f t="shared" si="3"/>
        <v>-1</v>
      </c>
      <c r="J18" s="164"/>
    </row>
    <row r="19" spans="1:10" ht="12.75">
      <c r="A19" s="44">
        <f t="shared" si="0"/>
        <v>11</v>
      </c>
      <c r="B19" s="44"/>
      <c r="C19" s="18" t="s">
        <v>127</v>
      </c>
      <c r="D19" s="72"/>
      <c r="E19" s="72"/>
      <c r="F19" s="72"/>
      <c r="G19" s="74"/>
      <c r="H19" s="72"/>
      <c r="I19" s="76"/>
      <c r="J19" s="164"/>
    </row>
    <row r="20" spans="1:10" ht="12.75">
      <c r="A20" s="44">
        <f t="shared" si="0"/>
        <v>12</v>
      </c>
      <c r="B20" s="44" t="s">
        <v>128</v>
      </c>
      <c r="C20" s="44" t="s">
        <v>214</v>
      </c>
      <c r="D20" s="72">
        <f>DEP!H15</f>
        <v>4319416</v>
      </c>
      <c r="E20" s="73">
        <v>0</v>
      </c>
      <c r="F20" s="73">
        <v>0</v>
      </c>
      <c r="G20" s="74">
        <f>E20+F20</f>
        <v>0</v>
      </c>
      <c r="H20" s="72">
        <f>+G20-D20</f>
        <v>-4319416</v>
      </c>
      <c r="I20" s="75">
        <f>IF(D20&lt;&gt;0,ROUND(((H20)/D20),4),IF(H20=0,0,1))</f>
        <v>-1</v>
      </c>
      <c r="J20" s="164"/>
    </row>
    <row r="21" spans="1:10" ht="12.75">
      <c r="A21" s="44">
        <f t="shared" si="0"/>
        <v>13</v>
      </c>
      <c r="B21" s="44"/>
      <c r="C21" s="44" t="s">
        <v>215</v>
      </c>
      <c r="D21" s="72"/>
      <c r="E21" s="72"/>
      <c r="F21" s="72"/>
      <c r="G21" s="74"/>
      <c r="H21" s="72"/>
      <c r="I21" s="76"/>
      <c r="J21" s="164"/>
    </row>
    <row r="22" spans="1:10" ht="12.75">
      <c r="A22" s="44">
        <f t="shared" si="0"/>
        <v>14</v>
      </c>
      <c r="B22" s="44" t="s">
        <v>43</v>
      </c>
      <c r="C22" s="44" t="s">
        <v>216</v>
      </c>
      <c r="D22" s="72">
        <f>DEP!H17</f>
        <v>145000</v>
      </c>
      <c r="E22" s="73">
        <v>0</v>
      </c>
      <c r="F22" s="73">
        <v>0</v>
      </c>
      <c r="G22" s="74">
        <f aca="true" t="shared" si="4" ref="G22:G35">E22+F22</f>
        <v>0</v>
      </c>
      <c r="H22" s="72">
        <f aca="true" t="shared" si="5" ref="H22:H35">+G22-D22</f>
        <v>-145000</v>
      </c>
      <c r="I22" s="75">
        <f aca="true" t="shared" si="6" ref="I22:I36">IF(D22&lt;&gt;0,ROUND(((H22)/D22),4),IF(H22=0,0,1))</f>
        <v>-1</v>
      </c>
      <c r="J22" s="164"/>
    </row>
    <row r="23" spans="1:10" ht="12.75">
      <c r="A23" s="44">
        <f t="shared" si="0"/>
        <v>15</v>
      </c>
      <c r="B23" s="44" t="s">
        <v>44</v>
      </c>
      <c r="C23" s="44" t="s">
        <v>217</v>
      </c>
      <c r="D23" s="72">
        <f>DEP!H18</f>
        <v>161000</v>
      </c>
      <c r="E23" s="73">
        <v>0</v>
      </c>
      <c r="F23" s="73">
        <v>0</v>
      </c>
      <c r="G23" s="74">
        <f t="shared" si="4"/>
        <v>0</v>
      </c>
      <c r="H23" s="72">
        <f t="shared" si="5"/>
        <v>-161000</v>
      </c>
      <c r="I23" s="75">
        <f t="shared" si="6"/>
        <v>-1</v>
      </c>
      <c r="J23" s="164"/>
    </row>
    <row r="24" spans="1:10" ht="12.75">
      <c r="A24" s="44">
        <f t="shared" si="0"/>
        <v>16</v>
      </c>
      <c r="B24" s="44" t="s">
        <v>45</v>
      </c>
      <c r="C24" s="44" t="s">
        <v>218</v>
      </c>
      <c r="D24" s="72">
        <f>DEP!H19</f>
        <v>288000</v>
      </c>
      <c r="E24" s="73">
        <v>0</v>
      </c>
      <c r="F24" s="73">
        <v>0</v>
      </c>
      <c r="G24" s="74">
        <f t="shared" si="4"/>
        <v>0</v>
      </c>
      <c r="H24" s="72">
        <f t="shared" si="5"/>
        <v>-288000</v>
      </c>
      <c r="I24" s="75">
        <f t="shared" si="6"/>
        <v>-1</v>
      </c>
      <c r="J24" s="164"/>
    </row>
    <row r="25" spans="1:10" ht="12.75">
      <c r="A25" s="44">
        <f t="shared" si="0"/>
        <v>17</v>
      </c>
      <c r="B25" s="44" t="s">
        <v>46</v>
      </c>
      <c r="C25" s="44" t="s">
        <v>219</v>
      </c>
      <c r="D25" s="72">
        <f>DEP!H20</f>
        <v>326000</v>
      </c>
      <c r="E25" s="73">
        <v>0</v>
      </c>
      <c r="F25" s="73">
        <v>0</v>
      </c>
      <c r="G25" s="74">
        <f t="shared" si="4"/>
        <v>0</v>
      </c>
      <c r="H25" s="72">
        <f t="shared" si="5"/>
        <v>-326000</v>
      </c>
      <c r="I25" s="75">
        <f t="shared" si="6"/>
        <v>-1</v>
      </c>
      <c r="J25" s="164"/>
    </row>
    <row r="26" spans="1:10" ht="12.75">
      <c r="A26" s="44">
        <f t="shared" si="0"/>
        <v>18</v>
      </c>
      <c r="B26" s="44" t="s">
        <v>47</v>
      </c>
      <c r="C26" s="44" t="s">
        <v>220</v>
      </c>
      <c r="D26" s="72">
        <f>DEP!H21</f>
        <v>221500</v>
      </c>
      <c r="E26" s="73">
        <v>0</v>
      </c>
      <c r="F26" s="73">
        <v>0</v>
      </c>
      <c r="G26" s="74">
        <f t="shared" si="4"/>
        <v>0</v>
      </c>
      <c r="H26" s="72">
        <f t="shared" si="5"/>
        <v>-221500</v>
      </c>
      <c r="I26" s="75">
        <f t="shared" si="6"/>
        <v>-1</v>
      </c>
      <c r="J26" s="164"/>
    </row>
    <row r="27" spans="1:10" ht="12.75">
      <c r="A27" s="44">
        <f t="shared" si="0"/>
        <v>19</v>
      </c>
      <c r="B27" s="44" t="s">
        <v>48</v>
      </c>
      <c r="C27" s="44" t="s">
        <v>221</v>
      </c>
      <c r="D27" s="72">
        <f>DEP!H22</f>
        <v>479000</v>
      </c>
      <c r="E27" s="73">
        <v>0</v>
      </c>
      <c r="F27" s="73">
        <v>0</v>
      </c>
      <c r="G27" s="74">
        <f t="shared" si="4"/>
        <v>0</v>
      </c>
      <c r="H27" s="72">
        <f t="shared" si="5"/>
        <v>-479000</v>
      </c>
      <c r="I27" s="75">
        <f t="shared" si="6"/>
        <v>-1</v>
      </c>
      <c r="J27" s="164"/>
    </row>
    <row r="28" spans="1:10" ht="12.75">
      <c r="A28" s="44">
        <f t="shared" si="0"/>
        <v>20</v>
      </c>
      <c r="B28" s="44" t="s">
        <v>49</v>
      </c>
      <c r="C28" s="44" t="s">
        <v>135</v>
      </c>
      <c r="D28" s="72">
        <f>DEP!H23</f>
        <v>465000</v>
      </c>
      <c r="E28" s="73">
        <v>0</v>
      </c>
      <c r="F28" s="73">
        <v>0</v>
      </c>
      <c r="G28" s="74">
        <f t="shared" si="4"/>
        <v>0</v>
      </c>
      <c r="H28" s="72">
        <f t="shared" si="5"/>
        <v>-465000</v>
      </c>
      <c r="I28" s="75">
        <f t="shared" si="6"/>
        <v>-1</v>
      </c>
      <c r="J28" s="164"/>
    </row>
    <row r="29" spans="1:10" ht="12.75">
      <c r="A29" s="44">
        <f t="shared" si="0"/>
        <v>21</v>
      </c>
      <c r="B29" s="44" t="s">
        <v>50</v>
      </c>
      <c r="C29" s="44" t="s">
        <v>222</v>
      </c>
      <c r="D29" s="72">
        <f>DEP!H24</f>
        <v>136000</v>
      </c>
      <c r="E29" s="73">
        <v>0</v>
      </c>
      <c r="F29" s="73">
        <v>0</v>
      </c>
      <c r="G29" s="74">
        <f t="shared" si="4"/>
        <v>0</v>
      </c>
      <c r="H29" s="72">
        <f t="shared" si="5"/>
        <v>-136000</v>
      </c>
      <c r="I29" s="75">
        <f t="shared" si="6"/>
        <v>-1</v>
      </c>
      <c r="J29" s="164"/>
    </row>
    <row r="30" spans="1:10" ht="12.75">
      <c r="A30" s="44">
        <f t="shared" si="0"/>
        <v>22</v>
      </c>
      <c r="B30" s="44" t="s">
        <v>51</v>
      </c>
      <c r="C30" s="44" t="s">
        <v>40</v>
      </c>
      <c r="D30" s="72">
        <f>DEP!H25</f>
        <v>117000</v>
      </c>
      <c r="E30" s="73">
        <v>0</v>
      </c>
      <c r="F30" s="73">
        <v>0</v>
      </c>
      <c r="G30" s="74">
        <f t="shared" si="4"/>
        <v>0</v>
      </c>
      <c r="H30" s="72">
        <f t="shared" si="5"/>
        <v>-117000</v>
      </c>
      <c r="I30" s="75">
        <f t="shared" si="6"/>
        <v>-1</v>
      </c>
      <c r="J30" s="164"/>
    </row>
    <row r="31" spans="1:10" ht="12.75">
      <c r="A31" s="44">
        <f t="shared" si="0"/>
        <v>23</v>
      </c>
      <c r="B31" s="44" t="s">
        <v>74</v>
      </c>
      <c r="C31" s="44" t="s">
        <v>138</v>
      </c>
      <c r="D31" s="72">
        <f>DEP!H26</f>
        <v>1500</v>
      </c>
      <c r="E31" s="73">
        <v>0</v>
      </c>
      <c r="F31" s="73">
        <v>0</v>
      </c>
      <c r="G31" s="74">
        <f t="shared" si="4"/>
        <v>0</v>
      </c>
      <c r="H31" s="72">
        <f t="shared" si="5"/>
        <v>-1500</v>
      </c>
      <c r="I31" s="75">
        <f t="shared" si="6"/>
        <v>-1</v>
      </c>
      <c r="J31" s="164"/>
    </row>
    <row r="32" spans="1:10" ht="12.75">
      <c r="A32" s="44">
        <f t="shared" si="0"/>
        <v>24</v>
      </c>
      <c r="B32" s="44" t="s">
        <v>223</v>
      </c>
      <c r="C32" s="44" t="s">
        <v>140</v>
      </c>
      <c r="D32" s="72">
        <f>DEP!H27</f>
        <v>0</v>
      </c>
      <c r="E32" s="73">
        <v>0</v>
      </c>
      <c r="F32" s="73">
        <v>0</v>
      </c>
      <c r="G32" s="74">
        <f t="shared" si="4"/>
        <v>0</v>
      </c>
      <c r="H32" s="72">
        <f t="shared" si="5"/>
        <v>0</v>
      </c>
      <c r="I32" s="75">
        <f t="shared" si="6"/>
        <v>0</v>
      </c>
      <c r="J32" s="164"/>
    </row>
    <row r="33" spans="1:10" ht="12.75">
      <c r="A33" s="44">
        <f t="shared" si="0"/>
        <v>25</v>
      </c>
      <c r="B33" s="44" t="s">
        <v>141</v>
      </c>
      <c r="C33" s="44" t="s">
        <v>224</v>
      </c>
      <c r="D33" s="72">
        <f>DEP!H28</f>
        <v>0</v>
      </c>
      <c r="E33" s="73">
        <v>0</v>
      </c>
      <c r="F33" s="73">
        <v>0</v>
      </c>
      <c r="G33" s="74">
        <f t="shared" si="4"/>
        <v>0</v>
      </c>
      <c r="H33" s="72">
        <f t="shared" si="5"/>
        <v>0</v>
      </c>
      <c r="I33" s="75">
        <f t="shared" si="6"/>
        <v>0</v>
      </c>
      <c r="J33" s="164"/>
    </row>
    <row r="34" spans="1:10" ht="12.75">
      <c r="A34" s="44">
        <f t="shared" si="0"/>
        <v>26</v>
      </c>
      <c r="B34" s="44" t="s">
        <v>120</v>
      </c>
      <c r="C34" s="44" t="s">
        <v>143</v>
      </c>
      <c r="D34" s="72">
        <f>DEP!H29</f>
        <v>0</v>
      </c>
      <c r="E34" s="73">
        <v>0</v>
      </c>
      <c r="F34" s="73">
        <v>0</v>
      </c>
      <c r="G34" s="74">
        <f t="shared" si="4"/>
        <v>0</v>
      </c>
      <c r="H34" s="72">
        <f t="shared" si="5"/>
        <v>0</v>
      </c>
      <c r="I34" s="75">
        <f t="shared" si="6"/>
        <v>0</v>
      </c>
      <c r="J34" s="164"/>
    </row>
    <row r="35" spans="1:10" ht="12.75">
      <c r="A35" s="44">
        <f t="shared" si="0"/>
        <v>27</v>
      </c>
      <c r="B35" s="44" t="s">
        <v>53</v>
      </c>
      <c r="C35" s="44" t="s">
        <v>144</v>
      </c>
      <c r="D35" s="72">
        <f>DEP!H30</f>
        <v>0</v>
      </c>
      <c r="E35" s="73">
        <v>0</v>
      </c>
      <c r="F35" s="73">
        <v>0</v>
      </c>
      <c r="G35" s="74">
        <f t="shared" si="4"/>
        <v>0</v>
      </c>
      <c r="H35" s="72">
        <f t="shared" si="5"/>
        <v>0</v>
      </c>
      <c r="I35" s="75">
        <f t="shared" si="6"/>
        <v>0</v>
      </c>
      <c r="J35" s="164"/>
    </row>
    <row r="36" spans="1:10" ht="12.75">
      <c r="A36" s="44">
        <f t="shared" si="0"/>
        <v>28</v>
      </c>
      <c r="B36" s="44"/>
      <c r="C36" s="18" t="s">
        <v>225</v>
      </c>
      <c r="D36" s="72">
        <f>DEP!H31</f>
        <v>6659416</v>
      </c>
      <c r="E36" s="72">
        <f>SUM(E20:E35)</f>
        <v>0</v>
      </c>
      <c r="F36" s="72">
        <f>SUM(F20:F35)</f>
        <v>0</v>
      </c>
      <c r="G36" s="74">
        <f>SUM(G20:G35)</f>
        <v>0</v>
      </c>
      <c r="H36" s="72">
        <f>SUM(H20:H35)</f>
        <v>-6659416</v>
      </c>
      <c r="I36" s="75">
        <f t="shared" si="6"/>
        <v>-1</v>
      </c>
      <c r="J36" s="164"/>
    </row>
    <row r="37" spans="1:10" ht="12.75">
      <c r="A37" s="44">
        <f t="shared" si="0"/>
        <v>29</v>
      </c>
      <c r="B37" s="44"/>
      <c r="C37" s="18" t="s">
        <v>146</v>
      </c>
      <c r="D37" s="72">
        <f>DEP!H32</f>
        <v>176949.9503000006</v>
      </c>
      <c r="E37" s="72"/>
      <c r="F37" s="72"/>
      <c r="G37" s="74">
        <f>G18-G36</f>
        <v>0</v>
      </c>
      <c r="H37" s="72">
        <f>+G37-D37</f>
        <v>-176949.9503000006</v>
      </c>
      <c r="I37" s="75">
        <f>IF(D37&lt;&gt;0,ROUND(((H37)/D37),4),IF(H37=0,0,1))</f>
        <v>-1</v>
      </c>
      <c r="J37" s="164"/>
    </row>
    <row r="38" spans="2:10" ht="12.75">
      <c r="B38" s="28"/>
      <c r="C38" s="28"/>
      <c r="D38" s="28"/>
      <c r="E38" s="28"/>
      <c r="F38" s="28"/>
      <c r="G38" s="3"/>
      <c r="H38" s="178"/>
      <c r="I38" s="3"/>
      <c r="J38" s="28"/>
    </row>
    <row r="39" spans="2:10" ht="12.75">
      <c r="B39" s="179" t="s">
        <v>357</v>
      </c>
      <c r="C39" s="179"/>
      <c r="D39" s="179"/>
      <c r="E39" s="179"/>
      <c r="F39" s="179"/>
      <c r="G39" s="3"/>
      <c r="H39" s="178"/>
      <c r="I39" s="3"/>
      <c r="J39" s="28"/>
    </row>
    <row r="40" spans="2:10" ht="12.75">
      <c r="B40" s="180"/>
      <c r="C40" s="192"/>
      <c r="D40" s="192"/>
      <c r="E40" s="192"/>
      <c r="F40" s="192"/>
      <c r="G40" s="181"/>
      <c r="H40" s="182"/>
      <c r="I40" s="181"/>
      <c r="J40" s="183"/>
    </row>
    <row r="41" spans="2:10" ht="12.75">
      <c r="B41" s="184"/>
      <c r="C41" s="193"/>
      <c r="D41" s="193"/>
      <c r="E41" s="193"/>
      <c r="F41" s="193"/>
      <c r="G41" s="185"/>
      <c r="H41" s="186"/>
      <c r="I41" s="185"/>
      <c r="J41" s="187"/>
    </row>
    <row r="42" spans="2:10" ht="12.75">
      <c r="B42" s="184"/>
      <c r="C42" s="193"/>
      <c r="D42" s="193"/>
      <c r="E42" s="193"/>
      <c r="F42" s="193"/>
      <c r="G42" s="185"/>
      <c r="H42" s="186"/>
      <c r="I42" s="185"/>
      <c r="J42" s="187"/>
    </row>
    <row r="43" spans="2:10" ht="12.75">
      <c r="B43" s="184"/>
      <c r="C43" s="193"/>
      <c r="D43" s="193"/>
      <c r="E43" s="193"/>
      <c r="F43" s="193"/>
      <c r="G43" s="185"/>
      <c r="H43" s="186"/>
      <c r="I43" s="185"/>
      <c r="J43" s="187"/>
    </row>
    <row r="44" spans="2:10" ht="12.75">
      <c r="B44" s="184"/>
      <c r="C44" s="193"/>
      <c r="D44" s="193"/>
      <c r="E44" s="193"/>
      <c r="F44" s="193"/>
      <c r="G44" s="185"/>
      <c r="H44" s="186"/>
      <c r="I44" s="185"/>
      <c r="J44" s="187"/>
    </row>
    <row r="45" spans="2:10" ht="12.75">
      <c r="B45" s="184"/>
      <c r="C45" s="193"/>
      <c r="D45" s="193"/>
      <c r="E45" s="193"/>
      <c r="F45" s="193"/>
      <c r="G45" s="185"/>
      <c r="H45" s="186"/>
      <c r="I45" s="185"/>
      <c r="J45" s="187"/>
    </row>
    <row r="46" spans="2:10" ht="12.75">
      <c r="B46" s="184"/>
      <c r="C46" s="193"/>
      <c r="D46" s="193"/>
      <c r="E46" s="193"/>
      <c r="F46" s="193"/>
      <c r="G46" s="185"/>
      <c r="H46" s="186"/>
      <c r="I46" s="185"/>
      <c r="J46" s="187"/>
    </row>
    <row r="47" spans="2:10" ht="12.75">
      <c r="B47" s="184"/>
      <c r="C47" s="193"/>
      <c r="D47" s="193"/>
      <c r="E47" s="193"/>
      <c r="F47" s="193"/>
      <c r="G47" s="185"/>
      <c r="H47" s="186"/>
      <c r="I47" s="185"/>
      <c r="J47" s="187"/>
    </row>
    <row r="48" spans="2:10" ht="12.75">
      <c r="B48" s="184"/>
      <c r="C48" s="193"/>
      <c r="D48" s="193"/>
      <c r="E48" s="193"/>
      <c r="F48" s="193"/>
      <c r="G48" s="185"/>
      <c r="H48" s="186"/>
      <c r="I48" s="185"/>
      <c r="J48" s="187"/>
    </row>
    <row r="49" spans="2:10" ht="12.75">
      <c r="B49" s="188"/>
      <c r="C49" s="194"/>
      <c r="D49" s="194"/>
      <c r="E49" s="194"/>
      <c r="F49" s="194"/>
      <c r="G49" s="189"/>
      <c r="H49" s="190"/>
      <c r="I49" s="189"/>
      <c r="J49" s="191"/>
    </row>
  </sheetData>
  <sheetProtection password="CAD5" sheet="1"/>
  <mergeCells count="4">
    <mergeCell ref="A2:I2"/>
    <mergeCell ref="A3:I3"/>
    <mergeCell ref="A1:C1"/>
    <mergeCell ref="J5:J7"/>
  </mergeCells>
  <conditionalFormatting sqref="A2:J37 B40:J49 D1:J1">
    <cfRule type="expression" priority="2" dxfId="0" stopIfTrue="1">
      <formula>CELL("protect",A1)</formula>
    </cfRule>
  </conditionalFormatting>
  <conditionalFormatting sqref="A38:A49 B38:J39">
    <cfRule type="expression" priority="3" dxfId="0" stopIfTrue="1">
      <formula>CELL("protect",$A$1)</formula>
    </cfRule>
  </conditionalFormatting>
  <conditionalFormatting sqref="A1:C1">
    <cfRule type="expression" priority="1" dxfId="0" stopIfTrue="1">
      <formula>CELL("protect",A1)</formula>
    </cfRule>
  </conditionalFormatting>
  <printOptions/>
  <pageMargins left="0.75" right="0.75" top="1" bottom="1" header="0.5" footer="0.5"/>
  <pageSetup blackAndWhite="1" fitToHeight="1" fitToWidth="1" horizontalDpi="600" verticalDpi="600" orientation="landscape" scale="74"/>
</worksheet>
</file>

<file path=xl/worksheets/sheet2.xml><?xml version="1.0" encoding="utf-8"?>
<worksheet xmlns="http://schemas.openxmlformats.org/spreadsheetml/2006/main" xmlns:r="http://schemas.openxmlformats.org/officeDocument/2006/relationships">
  <sheetPr>
    <pageSetUpPr fitToPage="1"/>
  </sheetPr>
  <dimension ref="A3:D22"/>
  <sheetViews>
    <sheetView tabSelected="1" zoomScalePageLayoutView="0" workbookViewId="0" topLeftCell="A1">
      <selection activeCell="B18" sqref="B18"/>
    </sheetView>
  </sheetViews>
  <sheetFormatPr defaultColWidth="9.140625" defaultRowHeight="12.75"/>
  <cols>
    <col min="1" max="1" width="28.421875" style="220" bestFit="1" customWidth="1"/>
    <col min="2" max="2" width="40.421875" style="220" bestFit="1" customWidth="1"/>
    <col min="3" max="3" width="6.7109375" style="220" bestFit="1" customWidth="1"/>
    <col min="4" max="4" width="39.00390625" style="220" bestFit="1" customWidth="1"/>
    <col min="5" max="16384" width="11.421875" style="220" customWidth="1"/>
  </cols>
  <sheetData>
    <row r="2" ht="13.5" thickBot="1"/>
    <row r="3" spans="1:4" ht="19.5" thickBot="1">
      <c r="A3" s="239" t="s">
        <v>386</v>
      </c>
      <c r="B3" s="249"/>
      <c r="C3" s="249"/>
      <c r="D3" s="264"/>
    </row>
    <row r="4" spans="1:4" ht="18.75">
      <c r="A4" s="240" t="s">
        <v>397</v>
      </c>
      <c r="B4" s="250" t="s">
        <v>466</v>
      </c>
      <c r="C4" s="258"/>
      <c r="D4" s="265"/>
    </row>
    <row r="5" spans="1:4" ht="18.75">
      <c r="A5" s="241" t="s">
        <v>388</v>
      </c>
      <c r="B5" s="251" t="s">
        <v>467</v>
      </c>
      <c r="C5" s="259"/>
      <c r="D5" s="266"/>
    </row>
    <row r="6" spans="1:4" ht="19.5" thickBot="1">
      <c r="A6" s="242" t="s">
        <v>389</v>
      </c>
      <c r="B6" s="252" t="s">
        <v>468</v>
      </c>
      <c r="C6" s="260"/>
      <c r="D6" s="267"/>
    </row>
    <row r="7" spans="1:4" ht="19.5" thickBot="1">
      <c r="A7" s="243" t="s">
        <v>390</v>
      </c>
      <c r="B7" s="253"/>
      <c r="C7" s="253"/>
      <c r="D7" s="268"/>
    </row>
    <row r="8" spans="1:4" ht="18.75">
      <c r="A8" s="244" t="s">
        <v>387</v>
      </c>
      <c r="B8" s="254" t="s">
        <v>469</v>
      </c>
      <c r="C8" s="261"/>
      <c r="D8" s="269"/>
    </row>
    <row r="9" spans="1:4" ht="18.75">
      <c r="A9" s="245" t="s">
        <v>391</v>
      </c>
      <c r="B9" s="255" t="s">
        <v>470</v>
      </c>
      <c r="C9" s="262"/>
      <c r="D9" s="270"/>
    </row>
    <row r="10" spans="1:4" ht="19.5" thickBot="1">
      <c r="A10" s="246" t="s">
        <v>392</v>
      </c>
      <c r="B10" s="256" t="s">
        <v>471</v>
      </c>
      <c r="C10" s="263" t="s">
        <v>393</v>
      </c>
      <c r="D10" s="271" t="s">
        <v>472</v>
      </c>
    </row>
    <row r="11" spans="1:4" ht="19.5" thickBot="1">
      <c r="A11" s="247" t="s">
        <v>394</v>
      </c>
      <c r="B11" s="249"/>
      <c r="C11" s="249"/>
      <c r="D11" s="264"/>
    </row>
    <row r="12" spans="1:4" ht="18.75">
      <c r="A12" s="244" t="s">
        <v>387</v>
      </c>
      <c r="B12" s="254" t="s">
        <v>473</v>
      </c>
      <c r="C12" s="261"/>
      <c r="D12" s="269"/>
    </row>
    <row r="13" spans="1:4" ht="15.75" customHeight="1">
      <c r="A13" s="245" t="s">
        <v>391</v>
      </c>
      <c r="B13" s="255" t="s">
        <v>474</v>
      </c>
      <c r="C13" s="262"/>
      <c r="D13" s="270"/>
    </row>
    <row r="14" spans="1:4" ht="19.5" thickBot="1">
      <c r="A14" s="246" t="s">
        <v>392</v>
      </c>
      <c r="B14" s="256" t="s">
        <v>471</v>
      </c>
      <c r="C14" s="263" t="s">
        <v>393</v>
      </c>
      <c r="D14" s="271" t="s">
        <v>475</v>
      </c>
    </row>
    <row r="15" spans="1:4" ht="19.5" thickBot="1">
      <c r="A15" s="247" t="s">
        <v>395</v>
      </c>
      <c r="B15" s="257"/>
      <c r="C15" s="249"/>
      <c r="D15" s="264"/>
    </row>
    <row r="16" spans="1:4" ht="18.75">
      <c r="A16" s="244" t="s">
        <v>387</v>
      </c>
      <c r="B16" s="254" t="s">
        <v>476</v>
      </c>
      <c r="C16" s="261"/>
      <c r="D16" s="269"/>
    </row>
    <row r="17" spans="1:4" ht="15.75" customHeight="1">
      <c r="A17" s="245" t="s">
        <v>391</v>
      </c>
      <c r="B17" s="255" t="s">
        <v>477</v>
      </c>
      <c r="C17" s="262"/>
      <c r="D17" s="270"/>
    </row>
    <row r="18" spans="1:4" ht="19.5" thickBot="1">
      <c r="A18" s="246" t="s">
        <v>392</v>
      </c>
      <c r="B18" s="256"/>
      <c r="C18" s="263" t="s">
        <v>393</v>
      </c>
      <c r="D18" s="271"/>
    </row>
    <row r="19" spans="1:4" ht="19.5" thickBot="1">
      <c r="A19" s="248" t="s">
        <v>396</v>
      </c>
      <c r="B19" s="249"/>
      <c r="C19" s="249"/>
      <c r="D19" s="264"/>
    </row>
    <row r="20" spans="1:4" ht="18.75">
      <c r="A20" s="244" t="s">
        <v>387</v>
      </c>
      <c r="B20" s="254" t="s">
        <v>478</v>
      </c>
      <c r="C20" s="261"/>
      <c r="D20" s="269"/>
    </row>
    <row r="21" spans="1:4" ht="15.75" customHeight="1">
      <c r="A21" s="245" t="s">
        <v>391</v>
      </c>
      <c r="B21" s="255" t="s">
        <v>479</v>
      </c>
      <c r="C21" s="262"/>
      <c r="D21" s="270"/>
    </row>
    <row r="22" spans="1:4" ht="19.5" thickBot="1">
      <c r="A22" s="246" t="s">
        <v>392</v>
      </c>
      <c r="B22" s="256" t="s">
        <v>471</v>
      </c>
      <c r="C22" s="263" t="s">
        <v>393</v>
      </c>
      <c r="D22" s="271"/>
    </row>
  </sheetData>
  <sheetProtection password="CAD5" sheet="1"/>
  <printOptions/>
  <pageMargins left="0.75" right="0.75" top="1" bottom="1" header="0.5" footer="0.5"/>
  <pageSetup fitToHeight="1" fitToWidth="1" horizontalDpi="600" verticalDpi="600" orientation="portrait" scale="79"/>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
    </sheetView>
  </sheetViews>
  <sheetFormatPr defaultColWidth="20.00390625" defaultRowHeight="12.75"/>
  <sheetData>
    <row r="1" spans="1:6" ht="25.5">
      <c r="A1" s="170" t="s">
        <v>450</v>
      </c>
      <c r="B1" s="170" t="s">
        <v>451</v>
      </c>
      <c r="C1" s="167" t="s">
        <v>430</v>
      </c>
      <c r="D1" s="167" t="s">
        <v>431</v>
      </c>
      <c r="E1" s="167" t="s">
        <v>432</v>
      </c>
      <c r="F1" s="167" t="s">
        <v>452</v>
      </c>
    </row>
    <row r="3" ht="38.25">
      <c r="A3" s="170" t="s">
        <v>453</v>
      </c>
    </row>
    <row r="5" ht="12.75">
      <c r="A5" s="208" t="s">
        <v>440</v>
      </c>
    </row>
    <row r="6" ht="12.75">
      <c r="A6" s="208" t="s">
        <v>441</v>
      </c>
    </row>
    <row r="7" ht="12.75">
      <c r="A7" s="208" t="s">
        <v>442</v>
      </c>
    </row>
    <row r="8" ht="12.75">
      <c r="A8" s="208" t="s">
        <v>443</v>
      </c>
    </row>
    <row r="9" ht="12.75">
      <c r="A9" s="208" t="s">
        <v>454</v>
      </c>
    </row>
    <row r="11" spans="1:2" ht="12.75" customHeight="1">
      <c r="A11" s="275" t="s">
        <v>444</v>
      </c>
      <c r="B11" s="276"/>
    </row>
    <row r="12" spans="1:2" ht="12.75" customHeight="1">
      <c r="A12" s="275" t="s">
        <v>445</v>
      </c>
      <c r="B12" s="276"/>
    </row>
    <row r="13" spans="1:2" ht="12.75" customHeight="1">
      <c r="A13" s="275" t="s">
        <v>455</v>
      </c>
      <c r="B13" s="276"/>
    </row>
    <row r="14" spans="1:2" ht="12.75" customHeight="1">
      <c r="A14" s="275" t="s">
        <v>456</v>
      </c>
      <c r="B14" s="276"/>
    </row>
    <row r="15" spans="1:2" ht="12.75" customHeight="1">
      <c r="A15" s="275" t="s">
        <v>446</v>
      </c>
      <c r="B15" s="276"/>
    </row>
    <row r="16" spans="1:2" ht="12.75" customHeight="1">
      <c r="A16" s="275" t="s">
        <v>457</v>
      </c>
      <c r="B16" s="276"/>
    </row>
    <row r="18" ht="26.25" thickBot="1">
      <c r="A18" s="177" t="s">
        <v>447</v>
      </c>
    </row>
    <row r="19" ht="26.25" thickBot="1">
      <c r="A19" s="177" t="s">
        <v>458</v>
      </c>
    </row>
  </sheetData>
  <sheetProtection/>
  <mergeCells count="6">
    <mergeCell ref="A11:B11"/>
    <mergeCell ref="A12:B12"/>
    <mergeCell ref="A13:B13"/>
    <mergeCell ref="A14:B14"/>
    <mergeCell ref="A15:B15"/>
    <mergeCell ref="A16:B16"/>
  </mergeCells>
  <conditionalFormatting sqref="A1:C1">
    <cfRule type="expression" priority="7" dxfId="0" stopIfTrue="1">
      <formula>CELL("protect",A1)</formula>
    </cfRule>
  </conditionalFormatting>
  <conditionalFormatting sqref="C1:F1">
    <cfRule type="expression" priority="6" dxfId="0" stopIfTrue="1">
      <formula>CELL("protect",C1)</formula>
    </cfRule>
  </conditionalFormatting>
  <conditionalFormatting sqref="A3">
    <cfRule type="expression" priority="5" dxfId="0" stopIfTrue="1">
      <formula>CELL("protect",A3)</formula>
    </cfRule>
  </conditionalFormatting>
  <conditionalFormatting sqref="A5:A9">
    <cfRule type="expression" priority="4" dxfId="0" stopIfTrue="1">
      <formula>CELL("protect",A5)</formula>
    </cfRule>
  </conditionalFormatting>
  <conditionalFormatting sqref="A11:B16">
    <cfRule type="expression" priority="3" dxfId="0" stopIfTrue="1">
      <formula>CELL("protect",A11)</formula>
    </cfRule>
  </conditionalFormatting>
  <conditionalFormatting sqref="A18">
    <cfRule type="expression" priority="2" dxfId="0" stopIfTrue="1">
      <formula>CELL("protect",A18)</formula>
    </cfRule>
  </conditionalFormatting>
  <conditionalFormatting sqref="A19">
    <cfRule type="expression" priority="1" dxfId="0" stopIfTrue="1">
      <formula>CELL("protect",A19)</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selection activeCell="D18" sqref="D18"/>
    </sheetView>
  </sheetViews>
  <sheetFormatPr defaultColWidth="9.140625" defaultRowHeight="12.75"/>
  <cols>
    <col min="1" max="1" width="3.421875" style="4" customWidth="1"/>
    <col min="2" max="2" width="33.7109375" style="28" customWidth="1"/>
    <col min="3" max="3" width="18.8515625" style="3" customWidth="1"/>
    <col min="4" max="4" width="16.8515625" style="4" customWidth="1"/>
    <col min="5" max="5" width="9.7109375" style="3" customWidth="1"/>
    <col min="6" max="6" width="16.8515625" style="4" customWidth="1"/>
    <col min="7" max="7" width="9.421875" style="3" bestFit="1" customWidth="1"/>
    <col min="8" max="8" width="45.8515625" style="28" customWidth="1"/>
    <col min="9" max="16384" width="11.421875" style="4" customWidth="1"/>
  </cols>
  <sheetData>
    <row r="1" spans="1:8" ht="24.75" customHeight="1">
      <c r="A1" s="4">
        <v>1</v>
      </c>
      <c r="B1" s="15" t="s">
        <v>155</v>
      </c>
      <c r="C1" s="174" t="str">
        <f>Headers!A1</f>
        <v>Preliminary Actual
2014-15</v>
      </c>
      <c r="D1" s="166" t="str">
        <f>Headers!B1</f>
        <v>Budgeted
2015-16 </v>
      </c>
      <c r="E1" s="16" t="s">
        <v>296</v>
      </c>
      <c r="F1" s="167" t="str">
        <f>Headers!C1</f>
        <v>Estimated
2016-17</v>
      </c>
      <c r="G1" s="16" t="s">
        <v>296</v>
      </c>
      <c r="H1" s="15" t="s">
        <v>309</v>
      </c>
    </row>
    <row r="2" spans="1:8" ht="12.75">
      <c r="A2" s="4">
        <f>A1+1</f>
        <v>2</v>
      </c>
      <c r="B2" s="207" t="s">
        <v>371</v>
      </c>
      <c r="C2" s="20">
        <f>3088208.05+5558.44</f>
        <v>3093766.4899999998</v>
      </c>
      <c r="D2" s="20">
        <v>3116292</v>
      </c>
      <c r="E2" s="21">
        <f aca="true" t="shared" si="0" ref="E2:E11">IF(C2=0,"NA",(D2-C2)/C2)</f>
        <v>0.007280934121178694</v>
      </c>
      <c r="F2" s="20">
        <v>3147454.92</v>
      </c>
      <c r="G2" s="21">
        <f>IF(D2=0,"NA",(F2-D2)/D2)</f>
        <v>0.009999999999999976</v>
      </c>
      <c r="H2" s="30"/>
    </row>
    <row r="3" spans="1:8" ht="21" customHeight="1">
      <c r="A3" s="4">
        <f>A2+1</f>
        <v>3</v>
      </c>
      <c r="B3" s="23" t="s">
        <v>106</v>
      </c>
      <c r="C3" s="20">
        <v>18906.94</v>
      </c>
      <c r="D3" s="24">
        <v>15000</v>
      </c>
      <c r="E3" s="21">
        <f t="shared" si="0"/>
        <v>-0.20664052459044133</v>
      </c>
      <c r="F3" s="24">
        <v>15000</v>
      </c>
      <c r="G3" s="21">
        <f aca="true" t="shared" si="1" ref="G3:G20">IF(D3=0,"NA",(F3-D3)/D3)</f>
        <v>0</v>
      </c>
      <c r="H3" s="30"/>
    </row>
    <row r="4" spans="1:8" ht="12.75">
      <c r="A4" s="4">
        <f aca="true" t="shared" si="2" ref="A4:A20">A3+1</f>
        <v>4</v>
      </c>
      <c r="B4" s="23" t="s">
        <v>108</v>
      </c>
      <c r="C4" s="24">
        <v>0</v>
      </c>
      <c r="D4" s="24">
        <v>0</v>
      </c>
      <c r="E4" s="21" t="str">
        <f t="shared" si="0"/>
        <v>NA</v>
      </c>
      <c r="F4" s="24">
        <v>0</v>
      </c>
      <c r="G4" s="21" t="str">
        <f t="shared" si="1"/>
        <v>NA</v>
      </c>
      <c r="H4" s="30"/>
    </row>
    <row r="5" spans="1:8" ht="12.75">
      <c r="A5" s="4">
        <f t="shared" si="2"/>
        <v>5</v>
      </c>
      <c r="B5" s="23" t="s">
        <v>109</v>
      </c>
      <c r="C5" s="24">
        <v>0</v>
      </c>
      <c r="D5" s="24">
        <v>0</v>
      </c>
      <c r="E5" s="21" t="str">
        <f t="shared" si="0"/>
        <v>NA</v>
      </c>
      <c r="F5" s="24">
        <v>0</v>
      </c>
      <c r="G5" s="21" t="str">
        <f t="shared" si="1"/>
        <v>NA</v>
      </c>
      <c r="H5" s="30"/>
    </row>
    <row r="6" spans="1:8" ht="12.75">
      <c r="A6" s="4">
        <f t="shared" si="2"/>
        <v>6</v>
      </c>
      <c r="B6" s="23" t="s">
        <v>107</v>
      </c>
      <c r="C6" s="24">
        <v>4525.74</v>
      </c>
      <c r="D6" s="24">
        <v>3000</v>
      </c>
      <c r="E6" s="21">
        <f t="shared" si="0"/>
        <v>-0.33712497845656175</v>
      </c>
      <c r="F6" s="24">
        <v>3000</v>
      </c>
      <c r="G6" s="21">
        <f t="shared" si="1"/>
        <v>0</v>
      </c>
      <c r="H6" s="30"/>
    </row>
    <row r="7" spans="1:8" ht="12.75">
      <c r="A7" s="4">
        <f t="shared" si="2"/>
        <v>7</v>
      </c>
      <c r="B7" s="23" t="s">
        <v>110</v>
      </c>
      <c r="C7" s="24">
        <v>34747.15</v>
      </c>
      <c r="D7" s="24">
        <v>29000</v>
      </c>
      <c r="E7" s="21">
        <f t="shared" si="0"/>
        <v>-0.16539917662311876</v>
      </c>
      <c r="F7" s="24">
        <v>29000</v>
      </c>
      <c r="G7" s="21">
        <f t="shared" si="1"/>
        <v>0</v>
      </c>
      <c r="H7" s="30"/>
    </row>
    <row r="8" spans="1:8" ht="12.75">
      <c r="A8" s="4">
        <f t="shared" si="2"/>
        <v>8</v>
      </c>
      <c r="B8" s="23" t="s">
        <v>111</v>
      </c>
      <c r="C8" s="24">
        <v>0</v>
      </c>
      <c r="D8" s="24">
        <v>0</v>
      </c>
      <c r="E8" s="21" t="str">
        <f t="shared" si="0"/>
        <v>NA</v>
      </c>
      <c r="F8" s="24">
        <v>0</v>
      </c>
      <c r="G8" s="21" t="str">
        <f>IF(D8=0,"NA",(F8-D8)/D8)</f>
        <v>NA</v>
      </c>
      <c r="H8" s="30"/>
    </row>
    <row r="9" spans="1:8" ht="12.75">
      <c r="A9" s="4">
        <f t="shared" si="2"/>
        <v>9</v>
      </c>
      <c r="B9" s="23" t="s">
        <v>112</v>
      </c>
      <c r="C9" s="24">
        <v>9604.06</v>
      </c>
      <c r="D9" s="24">
        <v>9500</v>
      </c>
      <c r="E9" s="21">
        <f t="shared" si="0"/>
        <v>-0.010835001030814</v>
      </c>
      <c r="F9" s="24">
        <v>9500</v>
      </c>
      <c r="G9" s="21">
        <f t="shared" si="1"/>
        <v>0</v>
      </c>
      <c r="H9" s="30"/>
    </row>
    <row r="10" spans="1:8" ht="12.75">
      <c r="A10" s="4">
        <f t="shared" si="2"/>
        <v>10</v>
      </c>
      <c r="B10" s="23" t="s">
        <v>113</v>
      </c>
      <c r="C10" s="24">
        <v>0</v>
      </c>
      <c r="D10" s="24">
        <v>0</v>
      </c>
      <c r="E10" s="21" t="str">
        <f t="shared" si="0"/>
        <v>NA</v>
      </c>
      <c r="F10" s="24">
        <v>0</v>
      </c>
      <c r="G10" s="21" t="str">
        <f t="shared" si="1"/>
        <v>NA</v>
      </c>
      <c r="H10" s="30"/>
    </row>
    <row r="11" spans="1:8" ht="12.75">
      <c r="A11" s="4">
        <f t="shared" si="2"/>
        <v>11</v>
      </c>
      <c r="B11" s="169" t="s">
        <v>385</v>
      </c>
      <c r="C11" s="24">
        <v>88639.57</v>
      </c>
      <c r="D11" s="24">
        <v>54800</v>
      </c>
      <c r="E11" s="21">
        <f t="shared" si="0"/>
        <v>-0.3817659539639013</v>
      </c>
      <c r="F11" s="24">
        <v>54800</v>
      </c>
      <c r="G11" s="21">
        <f t="shared" si="1"/>
        <v>0</v>
      </c>
      <c r="H11" s="30"/>
    </row>
    <row r="12" spans="1:8" s="27" customFormat="1" ht="25.5">
      <c r="A12" s="4">
        <f t="shared" si="2"/>
        <v>12</v>
      </c>
      <c r="B12" s="25" t="s">
        <v>157</v>
      </c>
      <c r="C12" s="6">
        <f>SUM(C2:C11)</f>
        <v>3250189.9499999997</v>
      </c>
      <c r="D12" s="6">
        <f>SUM(D2:D11)</f>
        <v>3227592</v>
      </c>
      <c r="E12" s="26"/>
      <c r="F12" s="6">
        <f>SUM(F2:F11)</f>
        <v>3258754.92</v>
      </c>
      <c r="G12" s="26"/>
      <c r="H12" s="35"/>
    </row>
    <row r="13" spans="1:8" ht="12.75">
      <c r="A13" s="4">
        <f t="shared" si="2"/>
        <v>13</v>
      </c>
      <c r="B13" s="23" t="s">
        <v>101</v>
      </c>
      <c r="C13" s="24">
        <v>0</v>
      </c>
      <c r="D13" s="24">
        <v>0</v>
      </c>
      <c r="E13" s="21" t="str">
        <f>IF(C13=0,"NA",(D13-C13)/C13)</f>
        <v>NA</v>
      </c>
      <c r="F13" s="24">
        <v>0</v>
      </c>
      <c r="G13" s="21" t="str">
        <f t="shared" si="1"/>
        <v>NA</v>
      </c>
      <c r="H13" s="30"/>
    </row>
    <row r="14" spans="1:8" ht="12.75">
      <c r="A14" s="4">
        <f t="shared" si="2"/>
        <v>14</v>
      </c>
      <c r="B14" s="23" t="s">
        <v>102</v>
      </c>
      <c r="C14" s="24">
        <v>0</v>
      </c>
      <c r="D14" s="24">
        <v>0</v>
      </c>
      <c r="E14" s="21" t="str">
        <f>IF(C14=0,"NA",(D14-C14)/C14)</f>
        <v>NA</v>
      </c>
      <c r="F14" s="24">
        <v>0</v>
      </c>
      <c r="G14" s="21" t="str">
        <f t="shared" si="1"/>
        <v>NA</v>
      </c>
      <c r="H14" s="30"/>
    </row>
    <row r="15" spans="1:8" ht="12.75">
      <c r="A15" s="4">
        <f t="shared" si="2"/>
        <v>15</v>
      </c>
      <c r="B15" s="23" t="s">
        <v>103</v>
      </c>
      <c r="C15" s="24">
        <v>61687</v>
      </c>
      <c r="D15" s="24">
        <v>61687</v>
      </c>
      <c r="E15" s="21">
        <f>IF(C15=0,"NA",(D15-C15)/C15)</f>
        <v>0</v>
      </c>
      <c r="F15" s="24">
        <v>62000</v>
      </c>
      <c r="G15" s="21">
        <f t="shared" si="1"/>
        <v>0.005074002626161104</v>
      </c>
      <c r="H15" s="30"/>
    </row>
    <row r="16" spans="1:8" ht="25.5">
      <c r="A16" s="4">
        <f t="shared" si="2"/>
        <v>16</v>
      </c>
      <c r="B16" s="23" t="s">
        <v>104</v>
      </c>
      <c r="C16" s="24">
        <v>0</v>
      </c>
      <c r="D16" s="24">
        <v>0</v>
      </c>
      <c r="E16" s="21" t="str">
        <f>IF(C16=0,"NA",(D16-C16)/C16)</f>
        <v>NA</v>
      </c>
      <c r="F16" s="24">
        <v>0</v>
      </c>
      <c r="G16" s="21" t="str">
        <f t="shared" si="1"/>
        <v>NA</v>
      </c>
      <c r="H16" s="30"/>
    </row>
    <row r="17" spans="1:8" ht="25.5">
      <c r="A17" s="4">
        <f t="shared" si="2"/>
        <v>17</v>
      </c>
      <c r="B17" s="23" t="s">
        <v>105</v>
      </c>
      <c r="C17" s="24">
        <v>92322.1</v>
      </c>
      <c r="D17" s="24">
        <v>95595</v>
      </c>
      <c r="E17" s="21">
        <f>IF(C17=0,"NA",(D17-C17)/C17)</f>
        <v>0.03545088337461988</v>
      </c>
      <c r="F17" s="24">
        <v>95000</v>
      </c>
      <c r="G17" s="21">
        <f t="shared" si="1"/>
        <v>-0.006224174904545217</v>
      </c>
      <c r="H17" s="30"/>
    </row>
    <row r="18" spans="1:8" s="27" customFormat="1" ht="25.5">
      <c r="A18" s="4">
        <f t="shared" si="2"/>
        <v>18</v>
      </c>
      <c r="B18" s="25" t="s">
        <v>158</v>
      </c>
      <c r="C18" s="6">
        <f>SUM(C13:C17)</f>
        <v>154009.1</v>
      </c>
      <c r="D18" s="6">
        <f>SUM(D13:D17)</f>
        <v>157282</v>
      </c>
      <c r="E18" s="26"/>
      <c r="F18" s="6">
        <f>SUM(F13:F17)</f>
        <v>157000</v>
      </c>
      <c r="G18" s="26"/>
      <c r="H18" s="35"/>
    </row>
    <row r="19" spans="1:8" ht="12.75">
      <c r="A19" s="4">
        <f t="shared" si="2"/>
        <v>19</v>
      </c>
      <c r="B19" s="23" t="s">
        <v>153</v>
      </c>
      <c r="C19" s="24">
        <v>0</v>
      </c>
      <c r="D19" s="24"/>
      <c r="E19" s="21" t="str">
        <f>IF(C19=0,"NA",(D19-C19)/C19)</f>
        <v>NA</v>
      </c>
      <c r="F19" s="24"/>
      <c r="G19" s="21" t="str">
        <f t="shared" si="1"/>
        <v>NA</v>
      </c>
      <c r="H19" s="163" t="s">
        <v>480</v>
      </c>
    </row>
    <row r="20" spans="1:8" s="27" customFormat="1" ht="51">
      <c r="A20" s="4">
        <f t="shared" si="2"/>
        <v>20</v>
      </c>
      <c r="B20" s="25" t="s">
        <v>154</v>
      </c>
      <c r="C20" s="6">
        <f>C12+C18+C19</f>
        <v>3404199.05</v>
      </c>
      <c r="D20" s="6">
        <f>D12+D18+D19</f>
        <v>3384874</v>
      </c>
      <c r="E20" s="26">
        <f>IF(C20=0,"NA",(D20-C20)/C20)</f>
        <v>-0.0056768272701326955</v>
      </c>
      <c r="F20" s="6">
        <f>F12+F18+F19</f>
        <v>3415754.92</v>
      </c>
      <c r="G20" s="26">
        <f t="shared" si="1"/>
        <v>0.00912321108555294</v>
      </c>
      <c r="H20" s="35"/>
    </row>
    <row r="21" spans="4:6" ht="12.75">
      <c r="D21" s="178"/>
      <c r="F21" s="178"/>
    </row>
    <row r="22" spans="2:6" ht="12.75">
      <c r="B22" s="179" t="s">
        <v>357</v>
      </c>
      <c r="D22" s="178"/>
      <c r="F22" s="178"/>
    </row>
    <row r="23" spans="2:8" ht="12.75">
      <c r="B23" s="180"/>
      <c r="C23" s="181"/>
      <c r="D23" s="182"/>
      <c r="E23" s="181"/>
      <c r="F23" s="182"/>
      <c r="G23" s="181"/>
      <c r="H23" s="183"/>
    </row>
    <row r="24" spans="2:8" ht="12.75">
      <c r="B24" s="184"/>
      <c r="C24" s="185"/>
      <c r="D24" s="186"/>
      <c r="E24" s="185"/>
      <c r="F24" s="186"/>
      <c r="G24" s="185"/>
      <c r="H24" s="187"/>
    </row>
    <row r="25" spans="2:8" ht="12.75">
      <c r="B25" s="184"/>
      <c r="C25" s="185"/>
      <c r="D25" s="186"/>
      <c r="E25" s="185"/>
      <c r="F25" s="186"/>
      <c r="G25" s="185"/>
      <c r="H25" s="187"/>
    </row>
    <row r="26" spans="2:8" ht="12.75">
      <c r="B26" s="184"/>
      <c r="C26" s="185"/>
      <c r="D26" s="186"/>
      <c r="E26" s="185"/>
      <c r="F26" s="186"/>
      <c r="G26" s="185"/>
      <c r="H26" s="187"/>
    </row>
    <row r="27" spans="2:8" ht="12.75">
      <c r="B27" s="184"/>
      <c r="C27" s="185"/>
      <c r="D27" s="186"/>
      <c r="E27" s="185"/>
      <c r="F27" s="186"/>
      <c r="G27" s="185"/>
      <c r="H27" s="187"/>
    </row>
    <row r="28" spans="2:8" ht="12.75">
      <c r="B28" s="184"/>
      <c r="C28" s="185"/>
      <c r="D28" s="186"/>
      <c r="E28" s="185"/>
      <c r="F28" s="186"/>
      <c r="G28" s="185"/>
      <c r="H28" s="187"/>
    </row>
    <row r="29" spans="2:8" ht="12.75">
      <c r="B29" s="184"/>
      <c r="C29" s="185"/>
      <c r="D29" s="186"/>
      <c r="E29" s="185"/>
      <c r="F29" s="186"/>
      <c r="G29" s="185"/>
      <c r="H29" s="187"/>
    </row>
    <row r="30" spans="2:8" ht="12.75">
      <c r="B30" s="184"/>
      <c r="C30" s="185"/>
      <c r="D30" s="186"/>
      <c r="E30" s="185"/>
      <c r="F30" s="186"/>
      <c r="G30" s="185"/>
      <c r="H30" s="187"/>
    </row>
    <row r="31" spans="2:8" ht="12.75">
      <c r="B31" s="184"/>
      <c r="C31" s="185"/>
      <c r="D31" s="186"/>
      <c r="E31" s="185"/>
      <c r="F31" s="186"/>
      <c r="G31" s="185"/>
      <c r="H31" s="187"/>
    </row>
    <row r="32" spans="2:8" ht="12.75">
      <c r="B32" s="184"/>
      <c r="C32" s="185"/>
      <c r="D32" s="186"/>
      <c r="E32" s="185"/>
      <c r="F32" s="186"/>
      <c r="G32" s="185"/>
      <c r="H32" s="187"/>
    </row>
    <row r="33" spans="2:8" ht="12.75">
      <c r="B33" s="188"/>
      <c r="C33" s="189"/>
      <c r="D33" s="190"/>
      <c r="E33" s="189"/>
      <c r="F33" s="190"/>
      <c r="G33" s="189"/>
      <c r="H33" s="191"/>
    </row>
  </sheetData>
  <sheetProtection password="CAD5" sheet="1"/>
  <conditionalFormatting sqref="A1:H1 B23:H33 A12:H20 A2:A11 C2:H11">
    <cfRule type="expression" priority="4" dxfId="0" stopIfTrue="1">
      <formula>CELL("protect",A1)</formula>
    </cfRule>
  </conditionalFormatting>
  <conditionalFormatting sqref="A21:A33 B21:H22">
    <cfRule type="expression" priority="5" dxfId="0" stopIfTrue="1">
      <formula>CELL("protect",$A$1)</formula>
    </cfRule>
  </conditionalFormatting>
  <conditionalFormatting sqref="B3:B11">
    <cfRule type="expression" priority="2" dxfId="0" stopIfTrue="1">
      <formula>CELL("protect",B3)</formula>
    </cfRule>
  </conditionalFormatting>
  <conditionalFormatting sqref="B2">
    <cfRule type="expression" priority="1" dxfId="0" stopIfTrue="1">
      <formula>CELL("protect",B2)</formula>
    </cfRule>
  </conditionalFormatting>
  <printOptions/>
  <pageMargins left="0.75" right="0.75" top="1" bottom="1" header="0.5" footer="0.5"/>
  <pageSetup blackAndWhite="1" fitToHeight="1" fitToWidth="1" horizontalDpi="600" verticalDpi="600" orientation="landscape" scale="79"/>
  <headerFooter alignWithMargins="0">
    <oddHeader>&amp;C&amp;"Arial,Bold"&amp;12Local Revenue Worksheet 
Table I</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109"/>
  <sheetViews>
    <sheetView zoomScalePageLayoutView="0" workbookViewId="0" topLeftCell="A19">
      <selection activeCell="B42" sqref="B42"/>
    </sheetView>
  </sheetViews>
  <sheetFormatPr defaultColWidth="9.140625" defaultRowHeight="12.75"/>
  <cols>
    <col min="1" max="1" width="32.00390625" style="109" customWidth="1"/>
    <col min="2" max="2" width="18.421875" style="115" customWidth="1"/>
    <col min="3" max="3" width="5.7109375" style="65" bestFit="1" customWidth="1"/>
    <col min="4" max="4" width="54.140625" style="109" customWidth="1"/>
    <col min="5" max="16384" width="11.421875" style="65" customWidth="1"/>
  </cols>
  <sheetData>
    <row r="1" spans="1:4" ht="12.75">
      <c r="A1" s="168" t="s">
        <v>380</v>
      </c>
      <c r="B1" s="119"/>
      <c r="C1" s="14"/>
      <c r="D1" s="136"/>
    </row>
    <row r="2" spans="1:4" ht="12.75">
      <c r="A2" s="16" t="s">
        <v>2</v>
      </c>
      <c r="B2" s="119"/>
      <c r="C2" s="137"/>
      <c r="D2" s="138"/>
    </row>
    <row r="3" spans="1:4" ht="12.75">
      <c r="A3" s="134" t="s">
        <v>381</v>
      </c>
      <c r="B3" s="24">
        <v>700.84</v>
      </c>
      <c r="C3" s="40" t="s">
        <v>230</v>
      </c>
      <c r="D3" s="169" t="s">
        <v>279</v>
      </c>
    </row>
    <row r="4" spans="1:4" ht="12.75">
      <c r="A4" s="134" t="s">
        <v>427</v>
      </c>
      <c r="B4" s="24">
        <v>700.34</v>
      </c>
      <c r="C4" s="40" t="s">
        <v>231</v>
      </c>
      <c r="D4" s="23" t="s">
        <v>278</v>
      </c>
    </row>
    <row r="5" spans="1:4" ht="12.75">
      <c r="A5" s="134" t="s">
        <v>18</v>
      </c>
      <c r="B5" s="6">
        <f>(0.9*B3)+(0.1*B4)</f>
        <v>700.7900000000001</v>
      </c>
      <c r="C5" s="40" t="s">
        <v>232</v>
      </c>
      <c r="D5" s="169" t="s">
        <v>425</v>
      </c>
    </row>
    <row r="6" spans="1:4" ht="12.75">
      <c r="A6" s="134" t="s">
        <v>382</v>
      </c>
      <c r="B6" s="24">
        <v>32.73</v>
      </c>
      <c r="C6" s="40" t="s">
        <v>233</v>
      </c>
      <c r="D6" s="169" t="s">
        <v>281</v>
      </c>
    </row>
    <row r="7" spans="1:4" ht="12.75">
      <c r="A7" s="134" t="s">
        <v>428</v>
      </c>
      <c r="B7" s="24">
        <v>33.73</v>
      </c>
      <c r="C7" s="40" t="s">
        <v>234</v>
      </c>
      <c r="D7" s="23" t="s">
        <v>280</v>
      </c>
    </row>
    <row r="8" spans="1:4" ht="12.75">
      <c r="A8" s="134" t="s">
        <v>19</v>
      </c>
      <c r="B8" s="6">
        <f>(0.9*B6)+(0.1*B7)</f>
        <v>32.83</v>
      </c>
      <c r="C8" s="40" t="s">
        <v>235</v>
      </c>
      <c r="D8" s="169" t="s">
        <v>426</v>
      </c>
    </row>
    <row r="9" spans="1:4" ht="12.75">
      <c r="A9" s="23" t="s">
        <v>8</v>
      </c>
      <c r="B9" s="6">
        <f>B5+B8</f>
        <v>733.6200000000001</v>
      </c>
      <c r="C9" s="40" t="s">
        <v>196</v>
      </c>
      <c r="D9" s="23" t="s">
        <v>236</v>
      </c>
    </row>
    <row r="10" spans="1:4" ht="12.75">
      <c r="A10" s="16" t="s">
        <v>3</v>
      </c>
      <c r="B10" s="120"/>
      <c r="C10" s="139"/>
      <c r="D10" s="135"/>
    </row>
    <row r="11" spans="1:4" s="3" customFormat="1" ht="12.75">
      <c r="A11" s="23" t="s">
        <v>325</v>
      </c>
      <c r="B11" s="131">
        <v>170483179</v>
      </c>
      <c r="C11" s="40" t="s">
        <v>318</v>
      </c>
      <c r="D11" s="23" t="s">
        <v>316</v>
      </c>
    </row>
    <row r="12" spans="1:4" s="3" customFormat="1" ht="12.75">
      <c r="A12" s="23" t="s">
        <v>4</v>
      </c>
      <c r="B12" s="7">
        <v>0.018</v>
      </c>
      <c r="C12" s="40" t="s">
        <v>237</v>
      </c>
      <c r="D12" s="23"/>
    </row>
    <row r="13" spans="1:4" s="3" customFormat="1" ht="12.75">
      <c r="A13" s="23" t="s">
        <v>326</v>
      </c>
      <c r="B13" s="131">
        <v>3237366</v>
      </c>
      <c r="C13" s="40" t="s">
        <v>319</v>
      </c>
      <c r="D13" s="23" t="s">
        <v>317</v>
      </c>
    </row>
    <row r="14" spans="1:4" s="3" customFormat="1" ht="12.75">
      <c r="A14" s="23" t="s">
        <v>4</v>
      </c>
      <c r="B14" s="7">
        <v>0.006</v>
      </c>
      <c r="C14" s="40" t="s">
        <v>239</v>
      </c>
      <c r="D14" s="23"/>
    </row>
    <row r="15" spans="1:4" ht="25.5">
      <c r="A15" s="23" t="s">
        <v>228</v>
      </c>
      <c r="B15" s="8">
        <f>B11*B12+B13*B14</f>
        <v>3088121.4179999996</v>
      </c>
      <c r="C15" s="40" t="s">
        <v>238</v>
      </c>
      <c r="D15" s="23" t="s">
        <v>229</v>
      </c>
    </row>
    <row r="16" spans="1:4" ht="12.75">
      <c r="A16" s="16" t="s">
        <v>20</v>
      </c>
      <c r="B16" s="129"/>
      <c r="C16" s="139"/>
      <c r="D16" s="135"/>
    </row>
    <row r="17" spans="1:4" ht="12.75">
      <c r="A17" s="169" t="s">
        <v>383</v>
      </c>
      <c r="B17" s="133">
        <v>7126</v>
      </c>
      <c r="C17" s="40" t="s">
        <v>240</v>
      </c>
      <c r="D17" s="169"/>
    </row>
    <row r="18" spans="1:4" ht="12.75">
      <c r="A18" s="169" t="s">
        <v>384</v>
      </c>
      <c r="B18" s="9">
        <v>8019</v>
      </c>
      <c r="C18" s="40" t="s">
        <v>241</v>
      </c>
      <c r="D18" s="169"/>
    </row>
    <row r="19" spans="1:4" ht="25.5">
      <c r="A19" s="32" t="s">
        <v>335</v>
      </c>
      <c r="B19" s="10">
        <f>IF(((MIN(B17,B18))-((B15)/B5)&lt;0),(0),(ROUND((MIN(B17,B18))-((B15)/B5),2)))</f>
        <v>2719.37</v>
      </c>
      <c r="C19" s="40" t="s">
        <v>242</v>
      </c>
      <c r="D19" s="23" t="s">
        <v>282</v>
      </c>
    </row>
    <row r="20" spans="1:4" ht="25.5">
      <c r="A20" s="32" t="s">
        <v>336</v>
      </c>
      <c r="B20" s="10">
        <f>(B15)/B5</f>
        <v>4406.628830320066</v>
      </c>
      <c r="C20" s="40" t="s">
        <v>243</v>
      </c>
      <c r="D20" s="23" t="s">
        <v>320</v>
      </c>
    </row>
    <row r="21" spans="1:4" ht="12.75">
      <c r="A21" s="32" t="s">
        <v>5</v>
      </c>
      <c r="B21" s="130">
        <v>4357.92</v>
      </c>
      <c r="C21" s="40" t="s">
        <v>244</v>
      </c>
      <c r="D21" s="23" t="s">
        <v>5</v>
      </c>
    </row>
    <row r="22" spans="1:4" ht="12.75">
      <c r="A22" s="32" t="s">
        <v>21</v>
      </c>
      <c r="B22" s="9">
        <v>6500</v>
      </c>
      <c r="C22" s="40" t="s">
        <v>245</v>
      </c>
      <c r="D22" s="23" t="s">
        <v>21</v>
      </c>
    </row>
    <row r="23" spans="1:4" ht="25.5">
      <c r="A23" s="32" t="s">
        <v>337</v>
      </c>
      <c r="B23" s="9">
        <f>IF((MIN(B21,B22)-((B15)/B9)&lt;0),0,(ROUND(MIN(B21,B22)-((B15)/B9),2)))</f>
        <v>148.49</v>
      </c>
      <c r="C23" s="44" t="s">
        <v>227</v>
      </c>
      <c r="D23" s="32" t="s">
        <v>283</v>
      </c>
    </row>
    <row r="24" spans="1:4" ht="12.75">
      <c r="A24" s="17" t="s">
        <v>22</v>
      </c>
      <c r="B24" s="132"/>
      <c r="C24" s="121"/>
      <c r="D24" s="122"/>
    </row>
    <row r="25" spans="1:4" ht="12.75">
      <c r="A25" s="32" t="s">
        <v>6</v>
      </c>
      <c r="B25" s="131">
        <v>854945</v>
      </c>
      <c r="C25" s="44" t="s">
        <v>246</v>
      </c>
      <c r="D25" s="15" t="s">
        <v>288</v>
      </c>
    </row>
    <row r="26" spans="1:4" ht="12.75">
      <c r="A26" s="32" t="s">
        <v>7</v>
      </c>
      <c r="B26" s="131">
        <v>0</v>
      </c>
      <c r="C26" s="44" t="s">
        <v>247</v>
      </c>
      <c r="D26" s="15" t="s">
        <v>297</v>
      </c>
    </row>
    <row r="27" spans="1:4" ht="25.5">
      <c r="A27" s="32" t="s">
        <v>14</v>
      </c>
      <c r="B27" s="133">
        <v>42416.5</v>
      </c>
      <c r="C27" s="117" t="s">
        <v>248</v>
      </c>
      <c r="D27" s="118" t="s">
        <v>17</v>
      </c>
    </row>
    <row r="28" spans="1:4" ht="25.5">
      <c r="A28" s="32" t="s">
        <v>15</v>
      </c>
      <c r="B28" s="133">
        <v>6654.37</v>
      </c>
      <c r="C28" s="44" t="s">
        <v>249</v>
      </c>
      <c r="D28" s="32" t="s">
        <v>17</v>
      </c>
    </row>
    <row r="29" spans="1:4" ht="12.75">
      <c r="A29" s="32" t="s">
        <v>338</v>
      </c>
      <c r="B29" s="6">
        <f>B27+B28</f>
        <v>49070.87</v>
      </c>
      <c r="C29" s="44" t="s">
        <v>250</v>
      </c>
      <c r="D29" s="32" t="s">
        <v>338</v>
      </c>
    </row>
    <row r="30" spans="1:4" ht="25.5">
      <c r="A30" s="32" t="s">
        <v>339</v>
      </c>
      <c r="B30" s="6">
        <f>(B25*0.0633359998)</f>
        <v>54148.796349011</v>
      </c>
      <c r="C30" s="44" t="s">
        <v>340</v>
      </c>
      <c r="D30" s="32" t="s">
        <v>345</v>
      </c>
    </row>
    <row r="31" spans="1:4" ht="12.75">
      <c r="A31" s="32" t="s">
        <v>346</v>
      </c>
      <c r="B31" s="6">
        <f>MIN(B27,B30)</f>
        <v>42416.5</v>
      </c>
      <c r="C31" s="44" t="s">
        <v>342</v>
      </c>
      <c r="D31" s="32" t="s">
        <v>347</v>
      </c>
    </row>
    <row r="32" spans="1:4" ht="25.5">
      <c r="A32" s="32" t="s">
        <v>341</v>
      </c>
      <c r="B32" s="6">
        <f>(B26*0.704165)</f>
        <v>0</v>
      </c>
      <c r="C32" s="44" t="s">
        <v>343</v>
      </c>
      <c r="D32" s="32" t="s">
        <v>345</v>
      </c>
    </row>
    <row r="33" spans="1:4" ht="12.75">
      <c r="A33" s="32" t="s">
        <v>348</v>
      </c>
      <c r="B33" s="6">
        <f>MIN(B28,B32)</f>
        <v>0</v>
      </c>
      <c r="C33" s="44" t="s">
        <v>344</v>
      </c>
      <c r="D33" s="32" t="s">
        <v>349</v>
      </c>
    </row>
    <row r="34" spans="1:4" ht="12.75">
      <c r="A34" s="32" t="s">
        <v>350</v>
      </c>
      <c r="B34" s="6">
        <f>B31+B33</f>
        <v>42416.5</v>
      </c>
      <c r="C34" s="44" t="s">
        <v>351</v>
      </c>
      <c r="D34" s="32" t="s">
        <v>353</v>
      </c>
    </row>
    <row r="35" spans="1:4" ht="12.75">
      <c r="A35" s="122"/>
      <c r="B35" s="123"/>
      <c r="C35" s="124"/>
      <c r="D35" s="125"/>
    </row>
    <row r="36" spans="1:2" ht="12.75">
      <c r="A36" s="17" t="s">
        <v>9</v>
      </c>
      <c r="B36" s="119"/>
    </row>
    <row r="37" spans="1:4" ht="12.75">
      <c r="A37" s="15" t="s">
        <v>23</v>
      </c>
      <c r="B37" s="126"/>
      <c r="C37" s="127"/>
      <c r="D37" s="128"/>
    </row>
    <row r="38" spans="1:4" ht="12.75">
      <c r="A38" s="32" t="s">
        <v>252</v>
      </c>
      <c r="B38" s="6">
        <f>B19*B5</f>
        <v>1905707.3023</v>
      </c>
      <c r="C38" s="44" t="s">
        <v>254</v>
      </c>
      <c r="D38" s="32" t="s">
        <v>253</v>
      </c>
    </row>
    <row r="39" spans="1:4" ht="12.75">
      <c r="A39" s="32" t="s">
        <v>11</v>
      </c>
      <c r="B39" s="24">
        <v>0</v>
      </c>
      <c r="C39" s="44" t="s">
        <v>255</v>
      </c>
      <c r="D39" s="32" t="s">
        <v>289</v>
      </c>
    </row>
    <row r="40" spans="1:4" ht="12.75">
      <c r="A40" s="15" t="s">
        <v>24</v>
      </c>
      <c r="B40" s="6">
        <f>IF(SUM(B38:B39)&lt;0,0,SUM(B38:B39))</f>
        <v>1905707.3023</v>
      </c>
      <c r="C40" s="44" t="s">
        <v>256</v>
      </c>
      <c r="D40" s="32" t="s">
        <v>260</v>
      </c>
    </row>
    <row r="41" spans="1:4" ht="12.75">
      <c r="A41" s="32" t="s">
        <v>257</v>
      </c>
      <c r="B41" s="6">
        <f>IF(B17&gt;B18,B18*B8,B17*B8)</f>
        <v>233946.58</v>
      </c>
      <c r="C41" s="44" t="s">
        <v>258</v>
      </c>
      <c r="D41" s="32" t="s">
        <v>262</v>
      </c>
    </row>
    <row r="42" spans="1:4" ht="12.75">
      <c r="A42" s="32" t="s">
        <v>10</v>
      </c>
      <c r="B42" s="24">
        <v>0</v>
      </c>
      <c r="C42" s="44" t="s">
        <v>259</v>
      </c>
      <c r="D42" s="32" t="s">
        <v>289</v>
      </c>
    </row>
    <row r="43" spans="1:4" ht="12.75">
      <c r="A43" s="15" t="s">
        <v>25</v>
      </c>
      <c r="B43" s="6">
        <f>IF(SUM(B41:B42)&lt;0,0,SUM(B41:B42))</f>
        <v>233946.58</v>
      </c>
      <c r="C43" s="18" t="s">
        <v>261</v>
      </c>
      <c r="D43" s="32" t="s">
        <v>263</v>
      </c>
    </row>
    <row r="44" spans="1:4" ht="18.75" customHeight="1">
      <c r="A44" s="32" t="s">
        <v>12</v>
      </c>
      <c r="B44" s="6">
        <f>B25*0.286138</f>
        <v>244632.25241000002</v>
      </c>
      <c r="C44" s="44" t="s">
        <v>264</v>
      </c>
      <c r="D44" s="32" t="s">
        <v>284</v>
      </c>
    </row>
    <row r="45" spans="1:4" ht="26.25" customHeight="1">
      <c r="A45" s="32" t="s">
        <v>13</v>
      </c>
      <c r="B45" s="6">
        <f>B26*0.704165</f>
        <v>0</v>
      </c>
      <c r="C45" s="44" t="s">
        <v>265</v>
      </c>
      <c r="D45" s="32" t="s">
        <v>285</v>
      </c>
    </row>
    <row r="46" spans="1:4" ht="18.75" customHeight="1">
      <c r="A46" s="15" t="s">
        <v>286</v>
      </c>
      <c r="B46" s="6">
        <f>SUM(B44:B45)</f>
        <v>244632.25241000002</v>
      </c>
      <c r="C46" s="18" t="s">
        <v>266</v>
      </c>
      <c r="D46" s="32" t="s">
        <v>290</v>
      </c>
    </row>
    <row r="47" spans="1:4" ht="18.75" customHeight="1">
      <c r="A47" s="15" t="s">
        <v>16</v>
      </c>
      <c r="B47" s="120"/>
      <c r="C47" s="121"/>
      <c r="D47" s="122"/>
    </row>
    <row r="48" spans="1:4" ht="25.5" customHeight="1">
      <c r="A48" s="15" t="s">
        <v>267</v>
      </c>
      <c r="B48" s="11">
        <f>IF(B34-(B46-B43)&lt;0,0,B34-(B46-B43))</f>
        <v>31730.82758999997</v>
      </c>
      <c r="C48" s="44" t="s">
        <v>268</v>
      </c>
      <c r="D48" s="32"/>
    </row>
    <row r="49" spans="1:4" ht="15.75" customHeight="1">
      <c r="A49" s="15" t="s">
        <v>26</v>
      </c>
      <c r="B49" s="142"/>
      <c r="C49" s="121"/>
      <c r="D49" s="122"/>
    </row>
    <row r="50" spans="1:4" ht="12.75">
      <c r="A50" s="15" t="s">
        <v>354</v>
      </c>
      <c r="B50" s="6">
        <f>B40+B43+(B46-B43)+B48</f>
        <v>2182070.3823</v>
      </c>
      <c r="C50" s="44" t="s">
        <v>269</v>
      </c>
      <c r="D50" s="32"/>
    </row>
    <row r="51" spans="1:4" ht="25.5">
      <c r="A51" s="17" t="s">
        <v>287</v>
      </c>
      <c r="B51" s="120"/>
      <c r="C51" s="121"/>
      <c r="D51" s="122"/>
    </row>
    <row r="52" spans="1:4" ht="17.25" customHeight="1">
      <c r="A52" s="15" t="s">
        <v>270</v>
      </c>
      <c r="B52" s="6">
        <f>B23*B9</f>
        <v>108935.23380000003</v>
      </c>
      <c r="C52" s="44" t="s">
        <v>273</v>
      </c>
      <c r="D52" s="32" t="s">
        <v>251</v>
      </c>
    </row>
    <row r="53" spans="1:4" ht="12.75">
      <c r="A53" s="15" t="s">
        <v>271</v>
      </c>
      <c r="B53" s="6">
        <f>B46</f>
        <v>244632.25241000002</v>
      </c>
      <c r="C53" s="44" t="s">
        <v>272</v>
      </c>
      <c r="D53" s="32" t="s">
        <v>275</v>
      </c>
    </row>
    <row r="54" spans="1:4" ht="12.75">
      <c r="A54" s="15" t="s">
        <v>276</v>
      </c>
      <c r="B54" s="6">
        <f>B50-B52-B53</f>
        <v>1828502.8960900002</v>
      </c>
      <c r="C54" s="44" t="s">
        <v>277</v>
      </c>
      <c r="D54" s="32" t="s">
        <v>274</v>
      </c>
    </row>
    <row r="55" spans="1:4" ht="12.75">
      <c r="A55" s="28"/>
      <c r="B55" s="178"/>
      <c r="C55" s="3"/>
      <c r="D55" s="28"/>
    </row>
    <row r="56" spans="1:4" ht="12.75">
      <c r="A56" s="179" t="s">
        <v>357</v>
      </c>
      <c r="B56" s="178"/>
      <c r="C56" s="3"/>
      <c r="D56" s="28"/>
    </row>
    <row r="57" spans="1:4" ht="12.75">
      <c r="A57" s="180"/>
      <c r="B57" s="182"/>
      <c r="C57" s="181"/>
      <c r="D57" s="183"/>
    </row>
    <row r="58" spans="1:4" ht="12.75">
      <c r="A58" s="184"/>
      <c r="B58" s="186"/>
      <c r="C58" s="185"/>
      <c r="D58" s="187"/>
    </row>
    <row r="59" spans="1:4" ht="12.75">
      <c r="A59" s="184"/>
      <c r="B59" s="186"/>
      <c r="C59" s="185"/>
      <c r="D59" s="187"/>
    </row>
    <row r="60" spans="1:4" ht="12.75">
      <c r="A60" s="184"/>
      <c r="B60" s="186"/>
      <c r="C60" s="185"/>
      <c r="D60" s="187"/>
    </row>
    <row r="61" spans="1:4" ht="12.75">
      <c r="A61" s="188"/>
      <c r="B61" s="190"/>
      <c r="C61" s="189"/>
      <c r="D61" s="191"/>
    </row>
    <row r="62" spans="1:2" ht="12.75">
      <c r="A62" s="108"/>
      <c r="B62" s="116"/>
    </row>
    <row r="64" ht="12.75">
      <c r="A64" s="110"/>
    </row>
    <row r="65" ht="12.75">
      <c r="A65" s="111"/>
    </row>
    <row r="66" ht="12.75">
      <c r="A66" s="111"/>
    </row>
    <row r="67" ht="12.75">
      <c r="A67" s="111"/>
    </row>
    <row r="68" ht="12.75">
      <c r="A68" s="111"/>
    </row>
    <row r="69" ht="12.75">
      <c r="A69" s="111"/>
    </row>
    <row r="70" ht="12.75">
      <c r="A70" s="111"/>
    </row>
    <row r="72" ht="12.75">
      <c r="A72" s="110"/>
    </row>
    <row r="76" ht="12.75">
      <c r="A76" s="110"/>
    </row>
    <row r="83" ht="12.75">
      <c r="A83" s="110"/>
    </row>
    <row r="86" spans="3:4" ht="12.75">
      <c r="C86" s="112"/>
      <c r="D86" s="113"/>
    </row>
    <row r="90" ht="12.75">
      <c r="A90" s="110"/>
    </row>
    <row r="91" ht="12.75">
      <c r="A91" s="108"/>
    </row>
    <row r="94" ht="12.75">
      <c r="A94" s="108"/>
    </row>
    <row r="97" spans="1:3" ht="12.75">
      <c r="A97" s="108"/>
      <c r="C97" s="114"/>
    </row>
    <row r="100" spans="1:3" ht="12.75">
      <c r="A100" s="108"/>
      <c r="C100" s="114"/>
    </row>
    <row r="102" ht="12.75">
      <c r="A102" s="108"/>
    </row>
    <row r="103" ht="12.75">
      <c r="A103" s="108"/>
    </row>
    <row r="104" ht="12.75">
      <c r="A104" s="108"/>
    </row>
    <row r="106" ht="12.75">
      <c r="A106" s="108"/>
    </row>
    <row r="107" ht="12.75">
      <c r="A107" s="108"/>
    </row>
    <row r="108" ht="12.75">
      <c r="A108" s="108"/>
    </row>
    <row r="109" ht="12.75">
      <c r="A109" s="108"/>
    </row>
  </sheetData>
  <sheetProtection password="CAD5" sheet="1"/>
  <conditionalFormatting sqref="A23:D54">
    <cfRule type="expression" priority="14" dxfId="78" stopIfTrue="1">
      <formula>CELL("protect",A23)</formula>
    </cfRule>
  </conditionalFormatting>
  <conditionalFormatting sqref="A55:D56">
    <cfRule type="expression" priority="15" dxfId="0" stopIfTrue="1">
      <formula>CELL("protect",$A$1)</formula>
    </cfRule>
  </conditionalFormatting>
  <conditionalFormatting sqref="A57:D61">
    <cfRule type="expression" priority="16" dxfId="0" stopIfTrue="1">
      <formula>CELL("protect",A57)</formula>
    </cfRule>
  </conditionalFormatting>
  <conditionalFormatting sqref="A19:D22">
    <cfRule type="expression" priority="4" dxfId="0" stopIfTrue="1">
      <formula>CELL("protect",A19)</formula>
    </cfRule>
  </conditionalFormatting>
  <conditionalFormatting sqref="A1:D2 B9:D18 A10:A18">
    <cfRule type="expression" priority="3" dxfId="0" stopIfTrue="1">
      <formula>CELL("protect",A1)</formula>
    </cfRule>
  </conditionalFormatting>
  <conditionalFormatting sqref="B3:D8">
    <cfRule type="expression" priority="2" dxfId="0" stopIfTrue="1">
      <formula>CELL("protect",B3)</formula>
    </cfRule>
  </conditionalFormatting>
  <conditionalFormatting sqref="A3:A9">
    <cfRule type="expression" priority="1" dxfId="0" stopIfTrue="1">
      <formula>CELL("protect",A3)</formula>
    </cfRule>
  </conditionalFormatting>
  <printOptions/>
  <pageMargins left="0.5" right="0.5" top="0.46" bottom="0.24" header="0.18" footer="0"/>
  <pageSetup blackAndWhite="1" fitToHeight="1" fitToWidth="1" horizontalDpi="600" verticalDpi="600" orientation="portrait" scale="81"/>
</worksheet>
</file>

<file path=xl/worksheets/sheet6.xml><?xml version="1.0" encoding="utf-8"?>
<worksheet xmlns="http://schemas.openxmlformats.org/spreadsheetml/2006/main" xmlns:r="http://schemas.openxmlformats.org/officeDocument/2006/relationships">
  <sheetPr>
    <pageSetUpPr fitToPage="1"/>
  </sheetPr>
  <dimension ref="A1:D104"/>
  <sheetViews>
    <sheetView zoomScalePageLayoutView="0" workbookViewId="0" topLeftCell="A37">
      <selection activeCell="F70" sqref="F70"/>
    </sheetView>
  </sheetViews>
  <sheetFormatPr defaultColWidth="9.140625" defaultRowHeight="12.75"/>
  <cols>
    <col min="1" max="1" width="32.00390625" style="13" customWidth="1"/>
    <col min="2" max="2" width="18.421875" style="115" customWidth="1"/>
    <col min="3" max="3" width="5.7109375" style="3" customWidth="1"/>
    <col min="4" max="4" width="54.140625" style="13" customWidth="1"/>
    <col min="5" max="16384" width="11.421875" style="3" customWidth="1"/>
  </cols>
  <sheetData>
    <row r="1" spans="1:4" ht="12.75">
      <c r="A1" s="168" t="s">
        <v>433</v>
      </c>
      <c r="B1" s="119"/>
      <c r="C1" s="14"/>
      <c r="D1" s="136"/>
    </row>
    <row r="2" spans="1:4" ht="12.75">
      <c r="A2" s="16" t="s">
        <v>2</v>
      </c>
      <c r="B2" s="119"/>
      <c r="C2" s="137"/>
      <c r="D2" s="138"/>
    </row>
    <row r="3" spans="1:4" ht="12.75">
      <c r="A3" s="169" t="s">
        <v>434</v>
      </c>
      <c r="B3" s="24">
        <v>702.6</v>
      </c>
      <c r="C3" s="40" t="s">
        <v>230</v>
      </c>
      <c r="D3" s="169" t="s">
        <v>279</v>
      </c>
    </row>
    <row r="4" spans="1:4" ht="12.75">
      <c r="A4" s="169" t="s">
        <v>435</v>
      </c>
      <c r="B4" s="24">
        <v>701</v>
      </c>
      <c r="C4" s="40" t="s">
        <v>231</v>
      </c>
      <c r="D4" s="23" t="s">
        <v>278</v>
      </c>
    </row>
    <row r="5" spans="1:4" ht="12.75">
      <c r="A5" s="134" t="s">
        <v>18</v>
      </c>
      <c r="B5" s="6">
        <f>(0.9*B3)+(0.1*B4)</f>
        <v>702.44</v>
      </c>
      <c r="C5" s="40" t="s">
        <v>232</v>
      </c>
      <c r="D5" s="169" t="s">
        <v>425</v>
      </c>
    </row>
    <row r="6" spans="1:4" ht="12.75">
      <c r="A6" s="169" t="s">
        <v>436</v>
      </c>
      <c r="B6" s="24">
        <v>33</v>
      </c>
      <c r="C6" s="40" t="s">
        <v>233</v>
      </c>
      <c r="D6" s="169" t="s">
        <v>281</v>
      </c>
    </row>
    <row r="7" spans="1:4" ht="12.75">
      <c r="A7" s="169" t="s">
        <v>437</v>
      </c>
      <c r="B7" s="24">
        <v>33</v>
      </c>
      <c r="C7" s="40" t="s">
        <v>234</v>
      </c>
      <c r="D7" s="23" t="s">
        <v>280</v>
      </c>
    </row>
    <row r="8" spans="1:4" ht="12.75">
      <c r="A8" s="134" t="s">
        <v>19</v>
      </c>
      <c r="B8" s="6">
        <f>(0.9*B6)+(0.1*B7)</f>
        <v>33</v>
      </c>
      <c r="C8" s="40" t="s">
        <v>235</v>
      </c>
      <c r="D8" s="169" t="s">
        <v>426</v>
      </c>
    </row>
    <row r="9" spans="1:4" ht="12.75">
      <c r="A9" s="23" t="s">
        <v>8</v>
      </c>
      <c r="B9" s="6">
        <f>B5+B8</f>
        <v>735.44</v>
      </c>
      <c r="C9" s="40" t="s">
        <v>196</v>
      </c>
      <c r="D9" s="23" t="s">
        <v>236</v>
      </c>
    </row>
    <row r="10" spans="1:4" ht="12.75">
      <c r="A10" s="16" t="s">
        <v>3</v>
      </c>
      <c r="B10" s="120"/>
      <c r="C10" s="139"/>
      <c r="D10" s="135"/>
    </row>
    <row r="11" spans="1:4" ht="12.75">
      <c r="A11" s="23" t="s">
        <v>325</v>
      </c>
      <c r="B11" s="131">
        <v>171742653</v>
      </c>
      <c r="C11" s="40" t="s">
        <v>318</v>
      </c>
      <c r="D11" s="23" t="s">
        <v>316</v>
      </c>
    </row>
    <row r="12" spans="1:4" ht="12.75">
      <c r="A12" s="23" t="s">
        <v>4</v>
      </c>
      <c r="B12" s="7">
        <v>0.018</v>
      </c>
      <c r="C12" s="40" t="s">
        <v>237</v>
      </c>
      <c r="D12" s="23"/>
    </row>
    <row r="13" spans="1:4" ht="12.75">
      <c r="A13" s="23" t="s">
        <v>326</v>
      </c>
      <c r="B13" s="131">
        <v>3237366</v>
      </c>
      <c r="C13" s="40" t="s">
        <v>319</v>
      </c>
      <c r="D13" s="23" t="s">
        <v>317</v>
      </c>
    </row>
    <row r="14" spans="1:4" ht="12.75">
      <c r="A14" s="23" t="s">
        <v>4</v>
      </c>
      <c r="B14" s="7">
        <v>0.006</v>
      </c>
      <c r="C14" s="40" t="s">
        <v>239</v>
      </c>
      <c r="D14" s="23"/>
    </row>
    <row r="15" spans="1:4" ht="25.5">
      <c r="A15" s="23" t="s">
        <v>228</v>
      </c>
      <c r="B15" s="8">
        <f>B11*B12+B13*B14</f>
        <v>3110791.9499999997</v>
      </c>
      <c r="C15" s="40" t="s">
        <v>238</v>
      </c>
      <c r="D15" s="23" t="s">
        <v>229</v>
      </c>
    </row>
    <row r="16" spans="1:4" ht="12.75">
      <c r="A16" s="16" t="s">
        <v>20</v>
      </c>
      <c r="B16" s="129"/>
      <c r="C16" s="139"/>
      <c r="D16" s="135"/>
    </row>
    <row r="17" spans="1:4" ht="12.75">
      <c r="A17" s="169" t="s">
        <v>438</v>
      </c>
      <c r="B17" s="133">
        <v>7391</v>
      </c>
      <c r="C17" s="40" t="s">
        <v>240</v>
      </c>
      <c r="D17" s="169"/>
    </row>
    <row r="18" spans="1:4" ht="12.75">
      <c r="A18" s="169" t="s">
        <v>439</v>
      </c>
      <c r="B18" s="9">
        <v>8019</v>
      </c>
      <c r="C18" s="40" t="s">
        <v>241</v>
      </c>
      <c r="D18" s="169"/>
    </row>
    <row r="19" spans="1:4" ht="25.5">
      <c r="A19" s="32" t="s">
        <v>335</v>
      </c>
      <c r="B19" s="10">
        <f>IF(((MIN(B17,B18))-((B15)/B5)&lt;0),(0),(ROUND((MIN(B17,B18))-((B15)/B5),2)))</f>
        <v>2962.45</v>
      </c>
      <c r="C19" s="40" t="s">
        <v>242</v>
      </c>
      <c r="D19" s="23" t="s">
        <v>282</v>
      </c>
    </row>
    <row r="20" spans="1:4" ht="25.5">
      <c r="A20" s="32" t="s">
        <v>336</v>
      </c>
      <c r="B20" s="10">
        <f>(B15)/B5</f>
        <v>4428.551833608563</v>
      </c>
      <c r="C20" s="40" t="s">
        <v>243</v>
      </c>
      <c r="D20" s="23" t="s">
        <v>320</v>
      </c>
    </row>
    <row r="21" spans="1:4" ht="12.75">
      <c r="A21" s="32" t="s">
        <v>5</v>
      </c>
      <c r="B21" s="130">
        <v>4357.92</v>
      </c>
      <c r="C21" s="40" t="s">
        <v>244</v>
      </c>
      <c r="D21" s="23" t="s">
        <v>5</v>
      </c>
    </row>
    <row r="22" spans="1:4" ht="12.75">
      <c r="A22" s="32" t="s">
        <v>21</v>
      </c>
      <c r="B22" s="9">
        <v>6500</v>
      </c>
      <c r="C22" s="40" t="s">
        <v>245</v>
      </c>
      <c r="D22" s="23" t="s">
        <v>21</v>
      </c>
    </row>
    <row r="23" spans="1:4" ht="25.5">
      <c r="A23" s="32" t="s">
        <v>337</v>
      </c>
      <c r="B23" s="9">
        <f>IF((MIN(B21,B22)-((B15)/B9)&lt;0),0,(ROUND(MIN(B21,B22)-((B15)/B9),2)))</f>
        <v>128.08</v>
      </c>
      <c r="C23" s="40" t="s">
        <v>227</v>
      </c>
      <c r="D23" s="23" t="s">
        <v>321</v>
      </c>
    </row>
    <row r="24" spans="1:4" ht="12.75">
      <c r="A24" s="16" t="s">
        <v>22</v>
      </c>
      <c r="B24" s="132"/>
      <c r="C24" s="139"/>
      <c r="D24" s="135"/>
    </row>
    <row r="25" spans="1:4" ht="12.75">
      <c r="A25" s="23" t="s">
        <v>6</v>
      </c>
      <c r="B25" s="131">
        <v>827011.23</v>
      </c>
      <c r="C25" s="40" t="s">
        <v>246</v>
      </c>
      <c r="D25" s="25" t="s">
        <v>288</v>
      </c>
    </row>
    <row r="26" spans="1:4" ht="12.75">
      <c r="A26" s="23" t="s">
        <v>7</v>
      </c>
      <c r="B26" s="131">
        <v>0</v>
      </c>
      <c r="C26" s="40" t="s">
        <v>247</v>
      </c>
      <c r="D26" s="25" t="s">
        <v>297</v>
      </c>
    </row>
    <row r="27" spans="1:4" ht="25.5" customHeight="1">
      <c r="A27" s="23" t="s">
        <v>14</v>
      </c>
      <c r="B27" s="133">
        <v>42416.5</v>
      </c>
      <c r="C27" s="5" t="s">
        <v>248</v>
      </c>
      <c r="D27" s="140" t="s">
        <v>17</v>
      </c>
    </row>
    <row r="28" spans="1:4" ht="25.5">
      <c r="A28" s="23" t="s">
        <v>15</v>
      </c>
      <c r="B28" s="133">
        <v>6654.37</v>
      </c>
      <c r="C28" s="40" t="s">
        <v>249</v>
      </c>
      <c r="D28" s="23" t="s">
        <v>17</v>
      </c>
    </row>
    <row r="29" spans="1:4" s="65" customFormat="1" ht="12.75">
      <c r="A29" s="32" t="s">
        <v>338</v>
      </c>
      <c r="B29" s="6">
        <f>B27+B28</f>
        <v>49070.87</v>
      </c>
      <c r="C29" s="44" t="s">
        <v>250</v>
      </c>
      <c r="D29" s="32" t="s">
        <v>338</v>
      </c>
    </row>
    <row r="30" spans="1:4" s="65" customFormat="1" ht="25.5">
      <c r="A30" s="32" t="s">
        <v>339</v>
      </c>
      <c r="B30" s="6">
        <f>(B25*0.0633359998)</f>
        <v>52379.58309787775</v>
      </c>
      <c r="C30" s="44" t="s">
        <v>340</v>
      </c>
      <c r="D30" s="32" t="s">
        <v>345</v>
      </c>
    </row>
    <row r="31" spans="1:4" s="65" customFormat="1" ht="12.75">
      <c r="A31" s="32" t="s">
        <v>346</v>
      </c>
      <c r="B31" s="6">
        <f>MIN(B27,B30)</f>
        <v>42416.5</v>
      </c>
      <c r="C31" s="44" t="s">
        <v>342</v>
      </c>
      <c r="D31" s="32" t="s">
        <v>347</v>
      </c>
    </row>
    <row r="32" spans="1:4" s="65" customFormat="1" ht="25.5">
      <c r="A32" s="32" t="s">
        <v>341</v>
      </c>
      <c r="B32" s="6">
        <f>(B26*0.704165)</f>
        <v>0</v>
      </c>
      <c r="C32" s="44" t="s">
        <v>343</v>
      </c>
      <c r="D32" s="32" t="s">
        <v>345</v>
      </c>
    </row>
    <row r="33" spans="1:4" s="65" customFormat="1" ht="12.75">
      <c r="A33" s="32" t="s">
        <v>348</v>
      </c>
      <c r="B33" s="6">
        <f>MIN(B28,B32)</f>
        <v>0</v>
      </c>
      <c r="C33" s="44" t="s">
        <v>344</v>
      </c>
      <c r="D33" s="32" t="s">
        <v>349</v>
      </c>
    </row>
    <row r="34" spans="1:4" s="65" customFormat="1" ht="12.75">
      <c r="A34" s="32" t="s">
        <v>350</v>
      </c>
      <c r="B34" s="6">
        <f>B31+B33</f>
        <v>42416.5</v>
      </c>
      <c r="C34" s="44" t="s">
        <v>351</v>
      </c>
      <c r="D34" s="32" t="s">
        <v>353</v>
      </c>
    </row>
    <row r="35" spans="1:4" s="65" customFormat="1" ht="12.75">
      <c r="A35" s="122"/>
      <c r="B35" s="123"/>
      <c r="C35" s="124"/>
      <c r="D35" s="125"/>
    </row>
    <row r="36" spans="1:4" s="65" customFormat="1" ht="12.75">
      <c r="A36" s="17" t="s">
        <v>9</v>
      </c>
      <c r="B36" s="119"/>
      <c r="D36" s="109"/>
    </row>
    <row r="37" spans="1:4" s="65" customFormat="1" ht="12.75">
      <c r="A37" s="15" t="s">
        <v>23</v>
      </c>
      <c r="B37" s="126"/>
      <c r="C37" s="127"/>
      <c r="D37" s="128"/>
    </row>
    <row r="38" spans="1:4" s="65" customFormat="1" ht="12.75">
      <c r="A38" s="32" t="s">
        <v>252</v>
      </c>
      <c r="B38" s="6">
        <f>B19*B5</f>
        <v>2080943.378</v>
      </c>
      <c r="C38" s="44" t="s">
        <v>254</v>
      </c>
      <c r="D38" s="32" t="s">
        <v>253</v>
      </c>
    </row>
    <row r="39" spans="1:4" s="65" customFormat="1" ht="12.75">
      <c r="A39" s="32" t="s">
        <v>11</v>
      </c>
      <c r="B39" s="24">
        <v>0</v>
      </c>
      <c r="C39" s="44" t="s">
        <v>255</v>
      </c>
      <c r="D39" s="32" t="s">
        <v>289</v>
      </c>
    </row>
    <row r="40" spans="1:4" s="65" customFormat="1" ht="12.75">
      <c r="A40" s="15" t="s">
        <v>24</v>
      </c>
      <c r="B40" s="6">
        <f>IF(SUM(B38:B39)&lt;0,0,SUM(B38:B39))</f>
        <v>2080943.378</v>
      </c>
      <c r="C40" s="44" t="s">
        <v>256</v>
      </c>
      <c r="D40" s="32" t="s">
        <v>260</v>
      </c>
    </row>
    <row r="41" spans="1:4" s="65" customFormat="1" ht="12.75">
      <c r="A41" s="32" t="s">
        <v>257</v>
      </c>
      <c r="B41" s="6">
        <f>IF(B17&gt;B18,B18*B8,B17*B8)</f>
        <v>243903</v>
      </c>
      <c r="C41" s="44" t="s">
        <v>258</v>
      </c>
      <c r="D41" s="32" t="s">
        <v>262</v>
      </c>
    </row>
    <row r="42" spans="1:4" s="65" customFormat="1" ht="12.75">
      <c r="A42" s="32" t="s">
        <v>10</v>
      </c>
      <c r="B42" s="24">
        <v>0</v>
      </c>
      <c r="C42" s="44" t="s">
        <v>259</v>
      </c>
      <c r="D42" s="32" t="s">
        <v>289</v>
      </c>
    </row>
    <row r="43" spans="1:4" s="65" customFormat="1" ht="12.75">
      <c r="A43" s="15" t="s">
        <v>25</v>
      </c>
      <c r="B43" s="6">
        <f>IF(SUM(B41:B42)&lt;0,0,SUM(B41:B42))</f>
        <v>243903</v>
      </c>
      <c r="C43" s="18" t="s">
        <v>261</v>
      </c>
      <c r="D43" s="32" t="s">
        <v>263</v>
      </c>
    </row>
    <row r="44" spans="1:4" s="65" customFormat="1" ht="18.75" customHeight="1">
      <c r="A44" s="32" t="s">
        <v>12</v>
      </c>
      <c r="B44" s="6">
        <f>B25*0.286138</f>
        <v>236639.33932974</v>
      </c>
      <c r="C44" s="44" t="s">
        <v>264</v>
      </c>
      <c r="D44" s="32" t="s">
        <v>284</v>
      </c>
    </row>
    <row r="45" spans="1:4" s="65" customFormat="1" ht="26.25" customHeight="1">
      <c r="A45" s="32" t="s">
        <v>13</v>
      </c>
      <c r="B45" s="6">
        <f>B26*0.704165</f>
        <v>0</v>
      </c>
      <c r="C45" s="44" t="s">
        <v>265</v>
      </c>
      <c r="D45" s="32" t="s">
        <v>285</v>
      </c>
    </row>
    <row r="46" spans="1:4" s="65" customFormat="1" ht="18.75" customHeight="1">
      <c r="A46" s="15" t="s">
        <v>286</v>
      </c>
      <c r="B46" s="6">
        <f>SUM(B44:B45)</f>
        <v>236639.33932974</v>
      </c>
      <c r="C46" s="18" t="s">
        <v>266</v>
      </c>
      <c r="D46" s="32" t="s">
        <v>290</v>
      </c>
    </row>
    <row r="47" spans="1:4" s="65" customFormat="1" ht="18.75" customHeight="1">
      <c r="A47" s="15" t="s">
        <v>16</v>
      </c>
      <c r="B47" s="120"/>
      <c r="C47" s="121"/>
      <c r="D47" s="122"/>
    </row>
    <row r="48" spans="1:4" s="65" customFormat="1" ht="25.5" customHeight="1">
      <c r="A48" s="15" t="s">
        <v>267</v>
      </c>
      <c r="B48" s="11">
        <f>IF(B34-(B46-B43)&lt;0,0,B34-(B46-B43))</f>
        <v>49680.16067026</v>
      </c>
      <c r="C48" s="44" t="s">
        <v>268</v>
      </c>
      <c r="D48" s="32"/>
    </row>
    <row r="49" spans="1:4" s="65" customFormat="1" ht="15.75" customHeight="1">
      <c r="A49" s="15" t="s">
        <v>26</v>
      </c>
      <c r="B49" s="142"/>
      <c r="C49" s="121"/>
      <c r="D49" s="122"/>
    </row>
    <row r="50" spans="1:4" s="65" customFormat="1" ht="12.75">
      <c r="A50" s="15" t="s">
        <v>354</v>
      </c>
      <c r="B50" s="6">
        <f>B40+B43+(B46-B43)+B48</f>
        <v>2367262.878</v>
      </c>
      <c r="C50" s="44" t="s">
        <v>269</v>
      </c>
      <c r="D50" s="32"/>
    </row>
    <row r="51" spans="1:4" s="65" customFormat="1" ht="25.5">
      <c r="A51" s="17" t="s">
        <v>287</v>
      </c>
      <c r="B51" s="120"/>
      <c r="C51" s="121"/>
      <c r="D51" s="122"/>
    </row>
    <row r="52" spans="1:4" s="65" customFormat="1" ht="17.25" customHeight="1">
      <c r="A52" s="15" t="s">
        <v>270</v>
      </c>
      <c r="B52" s="6">
        <f>B23*B9</f>
        <v>94195.15520000002</v>
      </c>
      <c r="C52" s="44" t="s">
        <v>273</v>
      </c>
      <c r="D52" s="32" t="s">
        <v>251</v>
      </c>
    </row>
    <row r="53" spans="1:4" s="65" customFormat="1" ht="12.75">
      <c r="A53" s="15" t="s">
        <v>271</v>
      </c>
      <c r="B53" s="6">
        <f>B46</f>
        <v>236639.33932974</v>
      </c>
      <c r="C53" s="44" t="s">
        <v>272</v>
      </c>
      <c r="D53" s="32" t="s">
        <v>275</v>
      </c>
    </row>
    <row r="54" spans="1:4" s="65" customFormat="1" ht="12.75">
      <c r="A54" s="15" t="s">
        <v>276</v>
      </c>
      <c r="B54" s="6">
        <f>B50-B52-B53</f>
        <v>2036428.38347026</v>
      </c>
      <c r="C54" s="44" t="s">
        <v>277</v>
      </c>
      <c r="D54" s="32" t="s">
        <v>274</v>
      </c>
    </row>
    <row r="55" spans="1:4" s="65" customFormat="1" ht="12.75">
      <c r="A55" s="28"/>
      <c r="B55" s="178"/>
      <c r="C55" s="3"/>
      <c r="D55" s="28"/>
    </row>
    <row r="56" spans="1:4" s="65" customFormat="1" ht="12.75">
      <c r="A56" s="179" t="s">
        <v>357</v>
      </c>
      <c r="B56" s="178"/>
      <c r="C56" s="3"/>
      <c r="D56" s="28"/>
    </row>
    <row r="57" spans="1:4" s="65" customFormat="1" ht="12.75">
      <c r="A57" s="180"/>
      <c r="B57" s="182"/>
      <c r="C57" s="181"/>
      <c r="D57" s="183"/>
    </row>
    <row r="58" spans="1:4" s="65" customFormat="1" ht="12.75">
      <c r="A58" s="184"/>
      <c r="B58" s="186"/>
      <c r="C58" s="185"/>
      <c r="D58" s="187"/>
    </row>
    <row r="59" spans="1:4" s="65" customFormat="1" ht="12.75">
      <c r="A59" s="184"/>
      <c r="B59" s="186"/>
      <c r="C59" s="185"/>
      <c r="D59" s="187"/>
    </row>
    <row r="60" spans="1:4" s="65" customFormat="1" ht="12.75">
      <c r="A60" s="184"/>
      <c r="B60" s="186"/>
      <c r="C60" s="185"/>
      <c r="D60" s="187"/>
    </row>
    <row r="61" spans="1:4" s="65" customFormat="1" ht="12.75">
      <c r="A61" s="188"/>
      <c r="B61" s="190"/>
      <c r="C61" s="189"/>
      <c r="D61" s="191"/>
    </row>
    <row r="62" spans="1:2" ht="12.75">
      <c r="A62" s="38"/>
      <c r="B62" s="116"/>
    </row>
    <row r="63" ht="12.75">
      <c r="A63" s="38"/>
    </row>
    <row r="64" ht="12.75">
      <c r="A64" s="38"/>
    </row>
    <row r="65" ht="12.75">
      <c r="A65" s="38"/>
    </row>
    <row r="67" ht="12.75">
      <c r="A67" s="2"/>
    </row>
    <row r="71" ht="12.75">
      <c r="A71" s="2"/>
    </row>
    <row r="78" ht="12.75">
      <c r="A78" s="2"/>
    </row>
    <row r="80" spans="3:4" ht="12.75">
      <c r="C80" s="41"/>
      <c r="D80" s="141"/>
    </row>
    <row r="85" ht="12.75">
      <c r="A85" s="2"/>
    </row>
    <row r="86" ht="12.75">
      <c r="A86" s="37"/>
    </row>
    <row r="89" ht="12.75">
      <c r="A89" s="37"/>
    </row>
    <row r="91" ht="12.75">
      <c r="C91" s="42"/>
    </row>
    <row r="92" ht="12.75">
      <c r="A92" s="37"/>
    </row>
    <row r="94" ht="12.75">
      <c r="C94" s="42"/>
    </row>
    <row r="95" ht="12.75">
      <c r="A95" s="37"/>
    </row>
    <row r="97" ht="12.75">
      <c r="A97" s="37"/>
    </row>
    <row r="98" ht="12.75">
      <c r="A98" s="37"/>
    </row>
    <row r="99" ht="12.75">
      <c r="A99" s="37"/>
    </row>
    <row r="101" ht="12.75">
      <c r="A101" s="37"/>
    </row>
    <row r="102" ht="12.75">
      <c r="A102" s="37"/>
    </row>
    <row r="103" ht="12.75">
      <c r="A103" s="37"/>
    </row>
    <row r="104" ht="12.75">
      <c r="A104" s="37"/>
    </row>
  </sheetData>
  <sheetProtection password="CAD5" sheet="1"/>
  <conditionalFormatting sqref="A57:D61 A19:A54 B41:B42 B44:B54 B19:B26 C19:D54 B29:B39">
    <cfRule type="expression" priority="11" dxfId="0" stopIfTrue="1">
      <formula>CELL("protect",A19)</formula>
    </cfRule>
  </conditionalFormatting>
  <conditionalFormatting sqref="A55:D56">
    <cfRule type="expression" priority="12" dxfId="0" stopIfTrue="1">
      <formula>CELL("protect",$A$1)</formula>
    </cfRule>
  </conditionalFormatting>
  <conditionalFormatting sqref="B40 B43">
    <cfRule type="expression" priority="13" dxfId="78" stopIfTrue="1">
      <formula>CELL("protect",B40)</formula>
    </cfRule>
  </conditionalFormatting>
  <conditionalFormatting sqref="B1:D2 B9:D18">
    <cfRule type="expression" priority="6" dxfId="0" stopIfTrue="1">
      <formula>CELL("protect",B1)</formula>
    </cfRule>
  </conditionalFormatting>
  <conditionalFormatting sqref="B3:D8">
    <cfRule type="expression" priority="5" dxfId="0" stopIfTrue="1">
      <formula>CELL("protect",B3)</formula>
    </cfRule>
  </conditionalFormatting>
  <conditionalFormatting sqref="A1:A2 A10:A18">
    <cfRule type="expression" priority="3" dxfId="0" stopIfTrue="1">
      <formula>CELL("protect",A1)</formula>
    </cfRule>
  </conditionalFormatting>
  <conditionalFormatting sqref="A3:A9">
    <cfRule type="expression" priority="2" dxfId="0" stopIfTrue="1">
      <formula>CELL("protect",A3)</formula>
    </cfRule>
  </conditionalFormatting>
  <conditionalFormatting sqref="B27:B28">
    <cfRule type="expression" priority="1" dxfId="78" stopIfTrue="1">
      <formula>CELL("protect",B27)</formula>
    </cfRule>
  </conditionalFormatting>
  <printOptions/>
  <pageMargins left="0.5" right="0.5" top="0.53" bottom="0.31" header="0.22" footer="0"/>
  <pageSetup blackAndWhite="1" fitToHeight="1" fitToWidth="1" horizontalDpi="600" verticalDpi="600" orientation="portrait" scale="80"/>
</worksheet>
</file>

<file path=xl/worksheets/sheet7.xml><?xml version="1.0" encoding="utf-8"?>
<worksheet xmlns="http://schemas.openxmlformats.org/spreadsheetml/2006/main" xmlns:r="http://schemas.openxmlformats.org/officeDocument/2006/relationships">
  <sheetPr>
    <pageSetUpPr fitToPage="1"/>
  </sheetPr>
  <dimension ref="A1:D104"/>
  <sheetViews>
    <sheetView zoomScalePageLayoutView="0" workbookViewId="0" topLeftCell="A1">
      <selection activeCell="B39" sqref="B39"/>
    </sheetView>
  </sheetViews>
  <sheetFormatPr defaultColWidth="9.140625" defaultRowHeight="12.75"/>
  <cols>
    <col min="1" max="1" width="32.00390625" style="13" customWidth="1"/>
    <col min="2" max="2" width="18.421875" style="115" customWidth="1"/>
    <col min="3" max="3" width="5.7109375" style="3" customWidth="1"/>
    <col min="4" max="4" width="54.140625" style="13" customWidth="1"/>
    <col min="5" max="16384" width="11.421875" style="3" customWidth="1"/>
  </cols>
  <sheetData>
    <row r="1" spans="1:4" ht="12.75">
      <c r="A1" s="168" t="s">
        <v>459</v>
      </c>
      <c r="B1" s="119"/>
      <c r="C1" s="14"/>
      <c r="D1" s="136"/>
    </row>
    <row r="2" spans="1:4" ht="12.75">
      <c r="A2" s="16" t="s">
        <v>2</v>
      </c>
      <c r="B2" s="119"/>
      <c r="C2" s="137"/>
      <c r="D2" s="138"/>
    </row>
    <row r="3" spans="1:4" ht="12.75">
      <c r="A3" s="169" t="s">
        <v>460</v>
      </c>
      <c r="B3" s="24">
        <v>702</v>
      </c>
      <c r="C3" s="40" t="s">
        <v>230</v>
      </c>
      <c r="D3" s="169" t="s">
        <v>279</v>
      </c>
    </row>
    <row r="4" spans="1:4" ht="12.75">
      <c r="A4" s="169" t="s">
        <v>461</v>
      </c>
      <c r="B4" s="24">
        <v>702</v>
      </c>
      <c r="C4" s="40" t="s">
        <v>231</v>
      </c>
      <c r="D4" s="23" t="s">
        <v>278</v>
      </c>
    </row>
    <row r="5" spans="1:4" ht="12.75">
      <c r="A5" s="134" t="s">
        <v>18</v>
      </c>
      <c r="B5" s="6">
        <f>(0.9*B3)+(0.1*B4)</f>
        <v>702.0000000000001</v>
      </c>
      <c r="C5" s="40" t="s">
        <v>232</v>
      </c>
      <c r="D5" s="169" t="s">
        <v>425</v>
      </c>
    </row>
    <row r="6" spans="1:4" ht="12.75">
      <c r="A6" s="169" t="s">
        <v>462</v>
      </c>
      <c r="B6" s="24">
        <v>33</v>
      </c>
      <c r="C6" s="40" t="s">
        <v>233</v>
      </c>
      <c r="D6" s="169" t="s">
        <v>281</v>
      </c>
    </row>
    <row r="7" spans="1:4" ht="12.75">
      <c r="A7" s="169" t="s">
        <v>463</v>
      </c>
      <c r="B7" s="24">
        <v>33</v>
      </c>
      <c r="C7" s="40" t="s">
        <v>234</v>
      </c>
      <c r="D7" s="23" t="s">
        <v>280</v>
      </c>
    </row>
    <row r="8" spans="1:4" ht="12.75">
      <c r="A8" s="134" t="s">
        <v>19</v>
      </c>
      <c r="B8" s="6">
        <f>(0.9*B6)+(0.1*B7)</f>
        <v>33</v>
      </c>
      <c r="C8" s="40" t="s">
        <v>235</v>
      </c>
      <c r="D8" s="169" t="s">
        <v>426</v>
      </c>
    </row>
    <row r="9" spans="1:4" ht="12.75">
      <c r="A9" s="23" t="s">
        <v>8</v>
      </c>
      <c r="B9" s="6">
        <f>B5+B8</f>
        <v>735.0000000000001</v>
      </c>
      <c r="C9" s="40" t="s">
        <v>196</v>
      </c>
      <c r="D9" s="23" t="s">
        <v>236</v>
      </c>
    </row>
    <row r="10" spans="1:4" ht="12.75">
      <c r="A10" s="16" t="s">
        <v>3</v>
      </c>
      <c r="B10" s="120"/>
      <c r="C10" s="139"/>
      <c r="D10" s="135"/>
    </row>
    <row r="11" spans="1:4" ht="12.75">
      <c r="A11" s="23" t="s">
        <v>325</v>
      </c>
      <c r="B11" s="131">
        <v>173460079.353</v>
      </c>
      <c r="C11" s="40" t="s">
        <v>318</v>
      </c>
      <c r="D11" s="23" t="s">
        <v>316</v>
      </c>
    </row>
    <row r="12" spans="1:4" ht="12.75">
      <c r="A12" s="23" t="s">
        <v>4</v>
      </c>
      <c r="B12" s="7">
        <v>0.018</v>
      </c>
      <c r="C12" s="40" t="s">
        <v>237</v>
      </c>
      <c r="D12" s="23"/>
    </row>
    <row r="13" spans="1:4" ht="12.75">
      <c r="A13" s="23" t="s">
        <v>326</v>
      </c>
      <c r="B13" s="131">
        <v>3237366</v>
      </c>
      <c r="C13" s="40" t="s">
        <v>319</v>
      </c>
      <c r="D13" s="23" t="s">
        <v>317</v>
      </c>
    </row>
    <row r="14" spans="1:4" ht="12.75">
      <c r="A14" s="23" t="s">
        <v>4</v>
      </c>
      <c r="B14" s="7">
        <v>0.006</v>
      </c>
      <c r="C14" s="40" t="s">
        <v>239</v>
      </c>
      <c r="D14" s="23"/>
    </row>
    <row r="15" spans="1:4" ht="25.5">
      <c r="A15" s="23" t="s">
        <v>228</v>
      </c>
      <c r="B15" s="8">
        <f>B11*B12+B13*B14</f>
        <v>3141705.6243539993</v>
      </c>
      <c r="C15" s="40" t="s">
        <v>238</v>
      </c>
      <c r="D15" s="23" t="s">
        <v>229</v>
      </c>
    </row>
    <row r="16" spans="1:4" ht="12.75">
      <c r="A16" s="16" t="s">
        <v>20</v>
      </c>
      <c r="B16" s="129"/>
      <c r="C16" s="139"/>
      <c r="D16" s="135"/>
    </row>
    <row r="17" spans="1:4" ht="12.75">
      <c r="A17" s="169" t="s">
        <v>464</v>
      </c>
      <c r="B17" s="133">
        <v>7391</v>
      </c>
      <c r="C17" s="40" t="s">
        <v>240</v>
      </c>
      <c r="D17" s="169"/>
    </row>
    <row r="18" spans="1:4" ht="12.75">
      <c r="A18" s="169" t="s">
        <v>465</v>
      </c>
      <c r="B18" s="9">
        <v>8019</v>
      </c>
      <c r="C18" s="40" t="s">
        <v>241</v>
      </c>
      <c r="D18" s="169"/>
    </row>
    <row r="19" spans="1:4" ht="25.5">
      <c r="A19" s="32" t="s">
        <v>335</v>
      </c>
      <c r="B19" s="10">
        <f>IF(((MIN(B17,B18))-((B15)/B5)&lt;0),(0),(ROUND((MIN(B17,B18))-((B15)/B5),2)))</f>
        <v>2915.64</v>
      </c>
      <c r="C19" s="40" t="s">
        <v>242</v>
      </c>
      <c r="D19" s="23" t="s">
        <v>282</v>
      </c>
    </row>
    <row r="20" spans="1:4" ht="25.5">
      <c r="A20" s="32" t="s">
        <v>336</v>
      </c>
      <c r="B20" s="10">
        <f>(B15)/B5</f>
        <v>4475.364137256409</v>
      </c>
      <c r="C20" s="40" t="s">
        <v>243</v>
      </c>
      <c r="D20" s="23" t="s">
        <v>320</v>
      </c>
    </row>
    <row r="21" spans="1:4" ht="12.75">
      <c r="A21" s="32" t="s">
        <v>5</v>
      </c>
      <c r="B21" s="130">
        <v>4357.92</v>
      </c>
      <c r="C21" s="40" t="s">
        <v>244</v>
      </c>
      <c r="D21" s="23" t="s">
        <v>5</v>
      </c>
    </row>
    <row r="22" spans="1:4" ht="12.75">
      <c r="A22" s="32" t="s">
        <v>21</v>
      </c>
      <c r="B22" s="9">
        <v>6500</v>
      </c>
      <c r="C22" s="40" t="s">
        <v>245</v>
      </c>
      <c r="D22" s="23" t="s">
        <v>21</v>
      </c>
    </row>
    <row r="23" spans="1:4" ht="25.5">
      <c r="A23" s="32" t="s">
        <v>337</v>
      </c>
      <c r="B23" s="9">
        <f>IF((MIN(B21,B22)-((B15)/B9)&lt;0),0,(ROUND(MIN(B21,B22)-((B15)/B9),2)))</f>
        <v>83.49</v>
      </c>
      <c r="C23" s="40" t="s">
        <v>227</v>
      </c>
      <c r="D23" s="23" t="s">
        <v>321</v>
      </c>
    </row>
    <row r="24" spans="1:4" ht="12.75">
      <c r="A24" s="16" t="s">
        <v>22</v>
      </c>
      <c r="B24" s="132"/>
      <c r="C24" s="139"/>
      <c r="D24" s="135"/>
    </row>
    <row r="25" spans="1:4" ht="12.75">
      <c r="A25" s="23" t="s">
        <v>6</v>
      </c>
      <c r="B25" s="131">
        <v>698111</v>
      </c>
      <c r="C25" s="40" t="s">
        <v>246</v>
      </c>
      <c r="D25" s="25" t="s">
        <v>114</v>
      </c>
    </row>
    <row r="26" spans="1:4" ht="12.75">
      <c r="A26" s="23" t="s">
        <v>7</v>
      </c>
      <c r="B26" s="131">
        <v>0</v>
      </c>
      <c r="C26" s="40" t="s">
        <v>247</v>
      </c>
      <c r="D26" s="25" t="s">
        <v>115</v>
      </c>
    </row>
    <row r="27" spans="1:4" ht="25.5">
      <c r="A27" s="23" t="s">
        <v>14</v>
      </c>
      <c r="B27" s="133">
        <v>42416.5</v>
      </c>
      <c r="C27" s="5" t="s">
        <v>248</v>
      </c>
      <c r="D27" s="140" t="s">
        <v>17</v>
      </c>
    </row>
    <row r="28" spans="1:4" ht="25.5">
      <c r="A28" s="23" t="s">
        <v>15</v>
      </c>
      <c r="B28" s="133">
        <v>6654.37</v>
      </c>
      <c r="C28" s="40" t="s">
        <v>249</v>
      </c>
      <c r="D28" s="23" t="s">
        <v>17</v>
      </c>
    </row>
    <row r="29" spans="1:4" s="65" customFormat="1" ht="12.75">
      <c r="A29" s="32" t="s">
        <v>338</v>
      </c>
      <c r="B29" s="6">
        <f>B27+B28</f>
        <v>49070.87</v>
      </c>
      <c r="C29" s="44" t="s">
        <v>250</v>
      </c>
      <c r="D29" s="32" t="s">
        <v>338</v>
      </c>
    </row>
    <row r="30" spans="1:4" s="65" customFormat="1" ht="25.5">
      <c r="A30" s="32" t="s">
        <v>339</v>
      </c>
      <c r="B30" s="6">
        <f>(B25*0.0633359998)</f>
        <v>44215.5581563778</v>
      </c>
      <c r="C30" s="44" t="s">
        <v>340</v>
      </c>
      <c r="D30" s="32" t="s">
        <v>345</v>
      </c>
    </row>
    <row r="31" spans="1:4" s="65" customFormat="1" ht="12.75">
      <c r="A31" s="32" t="s">
        <v>346</v>
      </c>
      <c r="B31" s="6">
        <f>MIN(B27,B30)</f>
        <v>42416.5</v>
      </c>
      <c r="C31" s="44" t="s">
        <v>342</v>
      </c>
      <c r="D31" s="32" t="s">
        <v>347</v>
      </c>
    </row>
    <row r="32" spans="1:4" s="65" customFormat="1" ht="25.5">
      <c r="A32" s="32" t="s">
        <v>341</v>
      </c>
      <c r="B32" s="6">
        <f>(B26*0.704165)</f>
        <v>0</v>
      </c>
      <c r="C32" s="44" t="s">
        <v>343</v>
      </c>
      <c r="D32" s="32" t="s">
        <v>345</v>
      </c>
    </row>
    <row r="33" spans="1:4" s="65" customFormat="1" ht="12.75">
      <c r="A33" s="32" t="s">
        <v>348</v>
      </c>
      <c r="B33" s="6">
        <f>MIN(B28,B32)</f>
        <v>0</v>
      </c>
      <c r="C33" s="44" t="s">
        <v>344</v>
      </c>
      <c r="D33" s="32" t="s">
        <v>349</v>
      </c>
    </row>
    <row r="34" spans="1:4" s="65" customFormat="1" ht="12.75">
      <c r="A34" s="32" t="s">
        <v>350</v>
      </c>
      <c r="B34" s="6">
        <f>B31+B33</f>
        <v>42416.5</v>
      </c>
      <c r="C34" s="44" t="s">
        <v>351</v>
      </c>
      <c r="D34" s="32" t="s">
        <v>353</v>
      </c>
    </row>
    <row r="35" spans="1:4" s="65" customFormat="1" ht="12.75">
      <c r="A35" s="122"/>
      <c r="B35" s="123"/>
      <c r="C35" s="124"/>
      <c r="D35" s="125"/>
    </row>
    <row r="36" spans="1:4" s="65" customFormat="1" ht="12.75">
      <c r="A36" s="17" t="s">
        <v>9</v>
      </c>
      <c r="B36" s="119"/>
      <c r="D36" s="109"/>
    </row>
    <row r="37" spans="1:4" s="65" customFormat="1" ht="12.75">
      <c r="A37" s="15" t="s">
        <v>23</v>
      </c>
      <c r="B37" s="126"/>
      <c r="C37" s="127"/>
      <c r="D37" s="128"/>
    </row>
    <row r="38" spans="1:4" s="65" customFormat="1" ht="12.75">
      <c r="A38" s="32" t="s">
        <v>252</v>
      </c>
      <c r="B38" s="6">
        <f>B19*B5</f>
        <v>2046779.2800000003</v>
      </c>
      <c r="C38" s="44" t="s">
        <v>254</v>
      </c>
      <c r="D38" s="32" t="s">
        <v>253</v>
      </c>
    </row>
    <row r="39" spans="1:4" s="65" customFormat="1" ht="12.75">
      <c r="A39" s="32" t="s">
        <v>11</v>
      </c>
      <c r="B39" s="24">
        <v>0</v>
      </c>
      <c r="C39" s="44" t="s">
        <v>255</v>
      </c>
      <c r="D39" s="32" t="s">
        <v>289</v>
      </c>
    </row>
    <row r="40" spans="1:4" s="65" customFormat="1" ht="12.75">
      <c r="A40" s="15" t="s">
        <v>24</v>
      </c>
      <c r="B40" s="6">
        <f>IF(SUM(B38:B39)&lt;0,0,SUM(B38:B39))</f>
        <v>2046779.2800000003</v>
      </c>
      <c r="C40" s="44" t="s">
        <v>256</v>
      </c>
      <c r="D40" s="32" t="s">
        <v>260</v>
      </c>
    </row>
    <row r="41" spans="1:4" s="65" customFormat="1" ht="12.75">
      <c r="A41" s="32" t="s">
        <v>257</v>
      </c>
      <c r="B41" s="6">
        <f>IF(B17&gt;B18,B18*B8,B17*B8)</f>
        <v>243903</v>
      </c>
      <c r="C41" s="44" t="s">
        <v>258</v>
      </c>
      <c r="D41" s="32" t="s">
        <v>262</v>
      </c>
    </row>
    <row r="42" spans="1:4" s="65" customFormat="1" ht="12.75">
      <c r="A42" s="32" t="s">
        <v>10</v>
      </c>
      <c r="B42" s="24">
        <v>0</v>
      </c>
      <c r="C42" s="44" t="s">
        <v>259</v>
      </c>
      <c r="D42" s="32" t="s">
        <v>289</v>
      </c>
    </row>
    <row r="43" spans="1:4" s="65" customFormat="1" ht="12.75">
      <c r="A43" s="15" t="s">
        <v>25</v>
      </c>
      <c r="B43" s="6">
        <f>IF(SUM(B41:B42)&lt;0,0,SUM(B41:B42))</f>
        <v>243903</v>
      </c>
      <c r="C43" s="18" t="s">
        <v>261</v>
      </c>
      <c r="D43" s="32" t="s">
        <v>263</v>
      </c>
    </row>
    <row r="44" spans="1:4" s="65" customFormat="1" ht="18.75" customHeight="1">
      <c r="A44" s="32" t="s">
        <v>12</v>
      </c>
      <c r="B44" s="6">
        <f>B25*0.286138</f>
        <v>199756.085318</v>
      </c>
      <c r="C44" s="44" t="s">
        <v>264</v>
      </c>
      <c r="D44" s="32" t="s">
        <v>284</v>
      </c>
    </row>
    <row r="45" spans="1:4" s="65" customFormat="1" ht="26.25" customHeight="1">
      <c r="A45" s="32" t="s">
        <v>13</v>
      </c>
      <c r="B45" s="6">
        <f>B26*0.704165</f>
        <v>0</v>
      </c>
      <c r="C45" s="44" t="s">
        <v>265</v>
      </c>
      <c r="D45" s="32" t="s">
        <v>285</v>
      </c>
    </row>
    <row r="46" spans="1:4" s="65" customFormat="1" ht="18.75" customHeight="1">
      <c r="A46" s="15" t="s">
        <v>286</v>
      </c>
      <c r="B46" s="6">
        <f>SUM(B44:B45)</f>
        <v>199756.085318</v>
      </c>
      <c r="C46" s="18" t="s">
        <v>266</v>
      </c>
      <c r="D46" s="32" t="s">
        <v>290</v>
      </c>
    </row>
    <row r="47" spans="1:4" s="65" customFormat="1" ht="18.75" customHeight="1">
      <c r="A47" s="15" t="s">
        <v>16</v>
      </c>
      <c r="B47" s="120"/>
      <c r="C47" s="121"/>
      <c r="D47" s="122"/>
    </row>
    <row r="48" spans="1:4" s="65" customFormat="1" ht="25.5" customHeight="1">
      <c r="A48" s="15" t="s">
        <v>267</v>
      </c>
      <c r="B48" s="11">
        <f>IF(B34-(B46-B43)&lt;0,0,B34-(B46-B43))</f>
        <v>86563.414682</v>
      </c>
      <c r="C48" s="44" t="s">
        <v>268</v>
      </c>
      <c r="D48" s="32"/>
    </row>
    <row r="49" spans="1:4" s="65" customFormat="1" ht="15.75" customHeight="1">
      <c r="A49" s="15" t="s">
        <v>26</v>
      </c>
      <c r="B49" s="142"/>
      <c r="C49" s="121"/>
      <c r="D49" s="122"/>
    </row>
    <row r="50" spans="1:4" s="65" customFormat="1" ht="12.75">
      <c r="A50" s="15" t="s">
        <v>354</v>
      </c>
      <c r="B50" s="6">
        <f>B40+B43+(B46-B43)+B48</f>
        <v>2333098.7800000003</v>
      </c>
      <c r="C50" s="44" t="s">
        <v>269</v>
      </c>
      <c r="D50" s="32"/>
    </row>
    <row r="51" spans="1:4" s="65" customFormat="1" ht="25.5">
      <c r="A51" s="17" t="s">
        <v>287</v>
      </c>
      <c r="B51" s="120"/>
      <c r="C51" s="121"/>
      <c r="D51" s="122"/>
    </row>
    <row r="52" spans="1:4" s="65" customFormat="1" ht="17.25" customHeight="1">
      <c r="A52" s="15" t="s">
        <v>270</v>
      </c>
      <c r="B52" s="6">
        <f>B23*B9</f>
        <v>61365.15000000001</v>
      </c>
      <c r="C52" s="44" t="s">
        <v>273</v>
      </c>
      <c r="D52" s="32" t="s">
        <v>251</v>
      </c>
    </row>
    <row r="53" spans="1:4" s="65" customFormat="1" ht="12.75">
      <c r="A53" s="15" t="s">
        <v>271</v>
      </c>
      <c r="B53" s="6">
        <f>B46</f>
        <v>199756.085318</v>
      </c>
      <c r="C53" s="44" t="s">
        <v>272</v>
      </c>
      <c r="D53" s="32" t="s">
        <v>275</v>
      </c>
    </row>
    <row r="54" spans="1:4" s="65" customFormat="1" ht="12.75">
      <c r="A54" s="15" t="s">
        <v>276</v>
      </c>
      <c r="B54" s="6">
        <f>B50-B52-B53</f>
        <v>2071977.5446820003</v>
      </c>
      <c r="C54" s="44" t="s">
        <v>277</v>
      </c>
      <c r="D54" s="32" t="s">
        <v>274</v>
      </c>
    </row>
    <row r="55" spans="1:4" s="65" customFormat="1" ht="12.75">
      <c r="A55" s="28"/>
      <c r="B55" s="178"/>
      <c r="C55" s="3"/>
      <c r="D55" s="28"/>
    </row>
    <row r="56" spans="1:4" s="65" customFormat="1" ht="12.75">
      <c r="A56" s="179" t="s">
        <v>357</v>
      </c>
      <c r="B56" s="178"/>
      <c r="C56" s="3"/>
      <c r="D56" s="28"/>
    </row>
    <row r="57" spans="1:4" s="65" customFormat="1" ht="12.75">
      <c r="A57" s="180"/>
      <c r="B57" s="182"/>
      <c r="C57" s="181"/>
      <c r="D57" s="183"/>
    </row>
    <row r="58" spans="1:4" s="65" customFormat="1" ht="12.75">
      <c r="A58" s="184"/>
      <c r="B58" s="186"/>
      <c r="C58" s="185"/>
      <c r="D58" s="187"/>
    </row>
    <row r="59" spans="1:4" s="65" customFormat="1" ht="12.75">
      <c r="A59" s="184"/>
      <c r="B59" s="186"/>
      <c r="C59" s="185"/>
      <c r="D59" s="187"/>
    </row>
    <row r="60" spans="1:4" s="65" customFormat="1" ht="12.75">
      <c r="A60" s="184"/>
      <c r="B60" s="186"/>
      <c r="C60" s="185"/>
      <c r="D60" s="187"/>
    </row>
    <row r="61" spans="1:4" s="65" customFormat="1" ht="12.75">
      <c r="A61" s="188"/>
      <c r="B61" s="190"/>
      <c r="C61" s="189"/>
      <c r="D61" s="191"/>
    </row>
    <row r="62" spans="1:2" ht="12.75">
      <c r="A62" s="38"/>
      <c r="B62" s="116"/>
    </row>
    <row r="63" ht="12.75">
      <c r="A63" s="38"/>
    </row>
    <row r="64" ht="12.75">
      <c r="A64" s="38"/>
    </row>
    <row r="65" ht="12.75">
      <c r="A65" s="38"/>
    </row>
    <row r="67" ht="12.75">
      <c r="A67" s="2"/>
    </row>
    <row r="71" ht="12.75">
      <c r="A71" s="2"/>
    </row>
    <row r="78" ht="12.75">
      <c r="A78" s="2"/>
    </row>
    <row r="81" spans="3:4" ht="12.75">
      <c r="C81" s="41"/>
      <c r="D81" s="141"/>
    </row>
    <row r="85" ht="12.75">
      <c r="A85" s="2"/>
    </row>
    <row r="86" ht="12.75">
      <c r="A86" s="37"/>
    </row>
    <row r="89" ht="12.75">
      <c r="A89" s="37"/>
    </row>
    <row r="92" spans="1:3" ht="12.75">
      <c r="A92" s="37"/>
      <c r="C92" s="42"/>
    </row>
    <row r="95" spans="1:3" ht="12.75">
      <c r="A95" s="37"/>
      <c r="C95" s="42"/>
    </row>
    <row r="97" ht="12.75">
      <c r="A97" s="37"/>
    </row>
    <row r="98" ht="12.75">
      <c r="A98" s="37"/>
    </row>
    <row r="99" ht="12.75">
      <c r="A99" s="37"/>
    </row>
    <row r="101" ht="12.75">
      <c r="A101" s="37"/>
    </row>
    <row r="102" ht="12.75">
      <c r="A102" s="37"/>
    </row>
    <row r="103" ht="12.75">
      <c r="A103" s="37"/>
    </row>
    <row r="104" ht="12.75">
      <c r="A104" s="37"/>
    </row>
  </sheetData>
  <sheetProtection password="CAD5" sheet="1"/>
  <conditionalFormatting sqref="A57:D61 A1:D2 B41:B42 B44:B54 B9:B26 C9:D54 A10:A54 B29:B39">
    <cfRule type="expression" priority="5" dxfId="0" stopIfTrue="1">
      <formula>CELL("protect",A1)</formula>
    </cfRule>
  </conditionalFormatting>
  <conditionalFormatting sqref="A55:D56">
    <cfRule type="expression" priority="6" dxfId="0" stopIfTrue="1">
      <formula>CELL("protect",$A$1)</formula>
    </cfRule>
  </conditionalFormatting>
  <conditionalFormatting sqref="B40 B43">
    <cfRule type="expression" priority="7" dxfId="78" stopIfTrue="1">
      <formula>CELL("protect",B40)</formula>
    </cfRule>
  </conditionalFormatting>
  <conditionalFormatting sqref="B5:D8 C3:D4">
    <cfRule type="expression" priority="4" dxfId="0" stopIfTrue="1">
      <formula>CELL("protect",B3)</formula>
    </cfRule>
  </conditionalFormatting>
  <conditionalFormatting sqref="A3:A9">
    <cfRule type="expression" priority="3" dxfId="0" stopIfTrue="1">
      <formula>CELL("protect",A3)</formula>
    </cfRule>
  </conditionalFormatting>
  <conditionalFormatting sqref="B3:B4">
    <cfRule type="expression" priority="2" dxfId="0" stopIfTrue="1">
      <formula>CELL("protect",B3)</formula>
    </cfRule>
  </conditionalFormatting>
  <conditionalFormatting sqref="B27:B28">
    <cfRule type="expression" priority="1" dxfId="78" stopIfTrue="1">
      <formula>CELL("protect",B27)</formula>
    </cfRule>
  </conditionalFormatting>
  <printOptions/>
  <pageMargins left="0.5" right="0.5" top="0.53" bottom="0.31" header="0.22" footer="0"/>
  <pageSetup blackAndWhite="1" fitToHeight="1" fitToWidth="1" horizontalDpi="600" verticalDpi="600" orientation="portrait" scale="8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I11" sqref="I11"/>
    </sheetView>
  </sheetViews>
  <sheetFormatPr defaultColWidth="9.140625" defaultRowHeight="12.75"/>
  <cols>
    <col min="1" max="1" width="3.8515625" style="3" customWidth="1"/>
    <col min="2" max="2" width="25.00390625" style="13" customWidth="1"/>
    <col min="3" max="3" width="15.421875" style="3" customWidth="1"/>
    <col min="4" max="4" width="15.8515625" style="3" customWidth="1"/>
    <col min="5" max="5" width="10.8515625" style="3" bestFit="1" customWidth="1"/>
    <col min="6" max="6" width="21.8515625" style="13" customWidth="1"/>
    <col min="7" max="7" width="15.7109375" style="3" customWidth="1"/>
    <col min="8" max="8" width="10.8515625" style="3" bestFit="1" customWidth="1"/>
    <col min="9" max="9" width="23.00390625" style="3" customWidth="1"/>
    <col min="10" max="16384" width="11.421875" style="3" customWidth="1"/>
  </cols>
  <sheetData>
    <row r="1" spans="2:9" ht="51">
      <c r="B1" s="25" t="s">
        <v>152</v>
      </c>
      <c r="C1" s="170" t="str">
        <f>Headers!A3</f>
        <v>2014-15 Per Most Recent State Aid Status Report</v>
      </c>
      <c r="D1" s="170" t="str">
        <f>Headers!B1</f>
        <v>Budgeted
2015-16 </v>
      </c>
      <c r="E1" s="16" t="s">
        <v>296</v>
      </c>
      <c r="F1" s="25" t="s">
        <v>308</v>
      </c>
      <c r="G1" s="170" t="str">
        <f>Headers!C1</f>
        <v>Estimated
2016-17</v>
      </c>
      <c r="H1" s="16" t="s">
        <v>296</v>
      </c>
      <c r="I1" s="25" t="s">
        <v>308</v>
      </c>
    </row>
    <row r="2" spans="1:9" ht="12.75">
      <c r="A2" s="3">
        <f>A1+1</f>
        <v>1</v>
      </c>
      <c r="B2" s="23" t="s">
        <v>91</v>
      </c>
      <c r="C2" s="20">
        <v>14290</v>
      </c>
      <c r="D2" s="24">
        <v>14290</v>
      </c>
      <c r="E2" s="29">
        <f>IF(C2=0,"NA",(D2-C2)/C2)</f>
        <v>0</v>
      </c>
      <c r="F2" s="30"/>
      <c r="G2" s="24">
        <v>14290</v>
      </c>
      <c r="H2" s="29">
        <f>IF(D2=0,"NA",(G2-D2)/D2)</f>
        <v>0</v>
      </c>
      <c r="I2" s="144"/>
    </row>
    <row r="3" spans="1:9" ht="25.5">
      <c r="A3" s="3">
        <v>2</v>
      </c>
      <c r="B3" s="19" t="s">
        <v>291</v>
      </c>
      <c r="C3" s="6">
        <f>'2014-15 State Foundation '!B52+'2014-15 State Foundation '!B54</f>
        <v>1937438.1298900002</v>
      </c>
      <c r="D3" s="6">
        <f>'2015-16 State Foundation '!B52+'2015-16 State Foundation '!B54</f>
        <v>2130623.53867026</v>
      </c>
      <c r="E3" s="21">
        <f aca="true" t="shared" si="0" ref="E3:E15">IF(C3=0,"NA",(D3-C3)/C3)</f>
        <v>0.0997117821724857</v>
      </c>
      <c r="F3" s="30"/>
      <c r="G3" s="6">
        <f>'2016-17 State Foundation'!B52+'2016-17 State Foundation'!B54</f>
        <v>2133342.694682</v>
      </c>
      <c r="H3" s="21">
        <f>IF(D3=0,"NA",(G3-D3)/D3)</f>
        <v>0.0012762254628226155</v>
      </c>
      <c r="I3" s="144"/>
    </row>
    <row r="4" spans="1:9" ht="25.5">
      <c r="A4" s="3">
        <f>A3+1</f>
        <v>3</v>
      </c>
      <c r="B4" s="23" t="s">
        <v>292</v>
      </c>
      <c r="C4" s="6">
        <f>'2014-15 State Foundation '!B53</f>
        <v>244632.25241000002</v>
      </c>
      <c r="D4" s="31">
        <f>'2015-16 State Foundation '!B53</f>
        <v>236639.33932974</v>
      </c>
      <c r="E4" s="143">
        <f t="shared" si="0"/>
        <v>-0.032673177806759546</v>
      </c>
      <c r="F4" s="30"/>
      <c r="G4" s="31">
        <f>'2016-17 State Foundation'!B53</f>
        <v>199756.085318</v>
      </c>
      <c r="H4" s="143">
        <f aca="true" t="shared" si="1" ref="H4:H18">IF(D4=0,"NA",(G4-D4)/D4)</f>
        <v>-0.15586273235975287</v>
      </c>
      <c r="I4" s="144"/>
    </row>
    <row r="5" spans="1:9" ht="12.75">
      <c r="A5" s="3">
        <f aca="true" t="shared" si="2" ref="A5:A18">A4+1</f>
        <v>4</v>
      </c>
      <c r="B5" s="23" t="s">
        <v>92</v>
      </c>
      <c r="C5" s="20">
        <v>159073.39</v>
      </c>
      <c r="D5" s="24">
        <v>180000</v>
      </c>
      <c r="E5" s="29">
        <f t="shared" si="0"/>
        <v>0.13155317806453978</v>
      </c>
      <c r="F5" s="30"/>
      <c r="G5" s="24">
        <v>165000</v>
      </c>
      <c r="H5" s="29">
        <f t="shared" si="1"/>
        <v>-0.08333333333333333</v>
      </c>
      <c r="I5" s="144"/>
    </row>
    <row r="6" spans="1:9" ht="12.75">
      <c r="A6" s="3">
        <f t="shared" si="2"/>
        <v>5</v>
      </c>
      <c r="B6" s="23" t="s">
        <v>93</v>
      </c>
      <c r="C6" s="20">
        <v>0</v>
      </c>
      <c r="D6" s="24">
        <v>0</v>
      </c>
      <c r="E6" s="29" t="str">
        <f t="shared" si="0"/>
        <v>NA</v>
      </c>
      <c r="F6" s="30"/>
      <c r="G6" s="24">
        <v>0</v>
      </c>
      <c r="H6" s="29" t="str">
        <f t="shared" si="1"/>
        <v>NA</v>
      </c>
      <c r="I6" s="144"/>
    </row>
    <row r="7" spans="1:9" ht="12.75">
      <c r="A7" s="3">
        <f t="shared" si="2"/>
        <v>6</v>
      </c>
      <c r="B7" s="23" t="s">
        <v>94</v>
      </c>
      <c r="C7" s="20">
        <v>0</v>
      </c>
      <c r="D7" s="24">
        <v>0</v>
      </c>
      <c r="E7" s="29" t="str">
        <f t="shared" si="0"/>
        <v>NA</v>
      </c>
      <c r="F7" s="30"/>
      <c r="G7" s="24">
        <v>0</v>
      </c>
      <c r="H7" s="29" t="str">
        <f t="shared" si="1"/>
        <v>NA</v>
      </c>
      <c r="I7" s="30"/>
    </row>
    <row r="8" spans="1:9" ht="12.75">
      <c r="A8" s="3">
        <f t="shared" si="2"/>
        <v>7</v>
      </c>
      <c r="B8" s="23" t="s">
        <v>84</v>
      </c>
      <c r="C8" s="20">
        <v>0</v>
      </c>
      <c r="D8" s="24">
        <v>0</v>
      </c>
      <c r="E8" s="29" t="str">
        <f t="shared" si="0"/>
        <v>NA</v>
      </c>
      <c r="F8" s="30"/>
      <c r="G8" s="24">
        <v>0</v>
      </c>
      <c r="H8" s="29" t="str">
        <f t="shared" si="1"/>
        <v>NA</v>
      </c>
      <c r="I8" s="144"/>
    </row>
    <row r="9" spans="1:9" ht="12.75">
      <c r="A9" s="3">
        <f t="shared" si="2"/>
        <v>8</v>
      </c>
      <c r="B9" s="23" t="s">
        <v>95</v>
      </c>
      <c r="C9" s="20">
        <v>0</v>
      </c>
      <c r="D9" s="24">
        <v>0</v>
      </c>
      <c r="E9" s="29" t="str">
        <f t="shared" si="0"/>
        <v>NA</v>
      </c>
      <c r="F9" s="30"/>
      <c r="G9" s="24">
        <v>0</v>
      </c>
      <c r="H9" s="29" t="str">
        <f t="shared" si="1"/>
        <v>NA</v>
      </c>
      <c r="I9" s="144"/>
    </row>
    <row r="10" spans="1:9" ht="12.75">
      <c r="A10" s="3">
        <f t="shared" si="2"/>
        <v>9</v>
      </c>
      <c r="B10" s="169" t="s">
        <v>373</v>
      </c>
      <c r="C10" s="20">
        <v>18326.91</v>
      </c>
      <c r="D10" s="24">
        <v>18214</v>
      </c>
      <c r="E10" s="29">
        <f>IF(C10=0,"NA",(D10-C10)/C10)</f>
        <v>-0.006160885823087463</v>
      </c>
      <c r="F10" s="30"/>
      <c r="G10" s="24">
        <v>18214</v>
      </c>
      <c r="H10" s="29">
        <f>IF(D10=0,"NA",(G10-D10)/D10)</f>
        <v>0</v>
      </c>
      <c r="I10" s="144"/>
    </row>
    <row r="11" spans="1:9" ht="12.75">
      <c r="A11" s="3">
        <f t="shared" si="2"/>
        <v>10</v>
      </c>
      <c r="B11" s="169" t="s">
        <v>448</v>
      </c>
      <c r="C11" s="20">
        <v>334450.7</v>
      </c>
      <c r="D11" s="24">
        <v>325790</v>
      </c>
      <c r="E11" s="29">
        <f>IF(C11=0,"NA",(D11-C11)/C11)</f>
        <v>-0.025895296377014643</v>
      </c>
      <c r="F11" s="30"/>
      <c r="G11" s="24">
        <v>330000</v>
      </c>
      <c r="H11" s="29">
        <f>IF(D11=0,"NA",(G11-D11)/D11)</f>
        <v>0.012922434697197581</v>
      </c>
      <c r="I11" s="272"/>
    </row>
    <row r="12" spans="1:9" ht="12.75">
      <c r="A12" s="3">
        <f t="shared" si="2"/>
        <v>11</v>
      </c>
      <c r="B12" s="169" t="s">
        <v>372</v>
      </c>
      <c r="C12" s="20">
        <f>36681+1231.7</f>
        <v>37912.7</v>
      </c>
      <c r="D12" s="24">
        <v>0</v>
      </c>
      <c r="E12" s="29">
        <f>IF(C12=0,"NA",(D12-C12)/C12)</f>
        <v>-1</v>
      </c>
      <c r="F12" s="163" t="s">
        <v>481</v>
      </c>
      <c r="G12" s="24">
        <v>0</v>
      </c>
      <c r="H12" s="29" t="str">
        <f>IF(D12=0,"NA",(G12-D12)/D12)</f>
        <v>NA</v>
      </c>
      <c r="I12" s="144"/>
    </row>
    <row r="13" spans="1:9" ht="12.75">
      <c r="A13" s="3">
        <f t="shared" si="2"/>
        <v>12</v>
      </c>
      <c r="B13" s="33" t="s">
        <v>151</v>
      </c>
      <c r="C13" s="24">
        <f>590+131+10800+91697.71+32620.83+21957.21+20931</f>
        <v>178727.75</v>
      </c>
      <c r="D13" s="24">
        <f>32413+85.34</f>
        <v>32498.34</v>
      </c>
      <c r="E13" s="29">
        <f t="shared" si="0"/>
        <v>-0.8181684713202063</v>
      </c>
      <c r="F13" s="163" t="s">
        <v>482</v>
      </c>
      <c r="G13" s="24">
        <v>32620.83</v>
      </c>
      <c r="H13" s="29">
        <f t="shared" si="1"/>
        <v>0.003769115591750274</v>
      </c>
      <c r="I13" s="144"/>
    </row>
    <row r="14" spans="1:9" ht="12.75">
      <c r="A14" s="3">
        <f t="shared" si="2"/>
        <v>13</v>
      </c>
      <c r="B14" s="23" t="s">
        <v>293</v>
      </c>
      <c r="C14" s="24">
        <v>0</v>
      </c>
      <c r="D14" s="24">
        <v>5000</v>
      </c>
      <c r="E14" s="29" t="str">
        <f t="shared" si="0"/>
        <v>NA</v>
      </c>
      <c r="F14" s="30"/>
      <c r="G14" s="24">
        <v>0</v>
      </c>
      <c r="H14" s="29">
        <f t="shared" si="1"/>
        <v>-1</v>
      </c>
      <c r="I14" s="144"/>
    </row>
    <row r="15" spans="1:9" ht="25.5">
      <c r="A15" s="3">
        <f t="shared" si="2"/>
        <v>14</v>
      </c>
      <c r="B15" s="23" t="s">
        <v>449</v>
      </c>
      <c r="C15" s="24">
        <v>0</v>
      </c>
      <c r="D15" s="24">
        <v>0</v>
      </c>
      <c r="E15" s="29" t="str">
        <f t="shared" si="0"/>
        <v>NA</v>
      </c>
      <c r="F15" s="30"/>
      <c r="G15" s="24"/>
      <c r="H15" s="29" t="str">
        <f t="shared" si="1"/>
        <v>NA</v>
      </c>
      <c r="I15" s="144"/>
    </row>
    <row r="16" spans="1:9" ht="38.25">
      <c r="A16" s="3">
        <f t="shared" si="2"/>
        <v>15</v>
      </c>
      <c r="B16" s="169" t="s">
        <v>356</v>
      </c>
      <c r="C16" s="24">
        <v>0</v>
      </c>
      <c r="D16" s="24">
        <v>0</v>
      </c>
      <c r="E16" s="29" t="str">
        <f>IF(C16=0,"NA",(D16-C16)/C16)</f>
        <v>NA</v>
      </c>
      <c r="F16" s="30"/>
      <c r="G16" s="24">
        <v>0</v>
      </c>
      <c r="H16" s="29" t="str">
        <f t="shared" si="1"/>
        <v>NA</v>
      </c>
      <c r="I16" s="144"/>
    </row>
    <row r="17" spans="1:9" ht="38.25">
      <c r="A17" s="3">
        <f t="shared" si="2"/>
        <v>16</v>
      </c>
      <c r="B17" s="23" t="s">
        <v>156</v>
      </c>
      <c r="C17" s="6">
        <f>SUM(C3:C16)</f>
        <v>2910561.832300001</v>
      </c>
      <c r="D17" s="6">
        <f>SUM(D3:D16)</f>
        <v>2928765.218</v>
      </c>
      <c r="E17" s="6">
        <f>SUM(E3:E16)</f>
        <v>-1.6516328710900425</v>
      </c>
      <c r="F17" s="6"/>
      <c r="G17" s="6">
        <f>SUM(G3:G16)</f>
        <v>2878933.6100000003</v>
      </c>
      <c r="H17" s="6">
        <f>SUM(H3:H16)</f>
        <v>-1.2212282899413158</v>
      </c>
      <c r="I17" s="5"/>
    </row>
    <row r="18" spans="1:9" ht="51">
      <c r="A18" s="3">
        <f t="shared" si="2"/>
        <v>17</v>
      </c>
      <c r="B18" s="23" t="s">
        <v>96</v>
      </c>
      <c r="C18" s="6">
        <f>SUM(C2:C16)</f>
        <v>2924851.832300001</v>
      </c>
      <c r="D18" s="6">
        <f>SUM(D2:D16)</f>
        <v>2943055.218</v>
      </c>
      <c r="E18" s="34">
        <f>IF(C18=0,"NA",(D18-C18)/C18)</f>
        <v>0.006223694991648363</v>
      </c>
      <c r="F18" s="25"/>
      <c r="G18" s="6">
        <f>SUM(G2:G16)</f>
        <v>2893223.6100000003</v>
      </c>
      <c r="H18" s="34">
        <f t="shared" si="1"/>
        <v>-0.016931931040649453</v>
      </c>
      <c r="I18" s="21"/>
    </row>
    <row r="19" spans="1:13" ht="12.75">
      <c r="A19" s="4"/>
      <c r="B19" s="28"/>
      <c r="C19" s="178"/>
      <c r="E19" s="178"/>
      <c r="F19" s="178"/>
      <c r="G19" s="178"/>
      <c r="H19" s="178"/>
      <c r="I19" s="28"/>
      <c r="J19" s="13"/>
      <c r="K19" s="51"/>
      <c r="M19" s="13"/>
    </row>
    <row r="20" spans="1:13" ht="12.75">
      <c r="A20" s="4"/>
      <c r="B20" s="179" t="s">
        <v>357</v>
      </c>
      <c r="C20" s="178"/>
      <c r="E20" s="178"/>
      <c r="F20" s="178"/>
      <c r="G20" s="178"/>
      <c r="H20" s="178"/>
      <c r="I20" s="28"/>
      <c r="J20" s="13"/>
      <c r="K20" s="51"/>
      <c r="M20" s="13"/>
    </row>
    <row r="21" spans="1:13" ht="12.75">
      <c r="A21" s="4"/>
      <c r="B21" s="180"/>
      <c r="C21" s="182"/>
      <c r="D21" s="181"/>
      <c r="E21" s="182"/>
      <c r="F21" s="182"/>
      <c r="G21" s="182"/>
      <c r="H21" s="182"/>
      <c r="I21" s="183"/>
      <c r="J21" s="13"/>
      <c r="K21" s="51"/>
      <c r="M21" s="13"/>
    </row>
    <row r="22" spans="1:13" ht="12.75">
      <c r="A22" s="4"/>
      <c r="B22" s="184"/>
      <c r="C22" s="186"/>
      <c r="D22" s="185"/>
      <c r="E22" s="186"/>
      <c r="F22" s="186"/>
      <c r="G22" s="186"/>
      <c r="H22" s="186"/>
      <c r="I22" s="187"/>
      <c r="J22" s="13"/>
      <c r="K22" s="51"/>
      <c r="M22" s="13"/>
    </row>
    <row r="23" spans="1:13" ht="12.75">
      <c r="A23" s="4"/>
      <c r="B23" s="184"/>
      <c r="C23" s="186"/>
      <c r="D23" s="185"/>
      <c r="E23" s="186"/>
      <c r="F23" s="186"/>
      <c r="G23" s="186"/>
      <c r="H23" s="186"/>
      <c r="I23" s="187"/>
      <c r="J23" s="13"/>
      <c r="K23" s="51"/>
      <c r="M23" s="13"/>
    </row>
    <row r="24" spans="1:13" ht="12.75">
      <c r="A24" s="4"/>
      <c r="B24" s="184"/>
      <c r="C24" s="186"/>
      <c r="D24" s="185"/>
      <c r="E24" s="186"/>
      <c r="F24" s="186"/>
      <c r="G24" s="186"/>
      <c r="H24" s="186"/>
      <c r="I24" s="187"/>
      <c r="J24" s="13"/>
      <c r="K24" s="51"/>
      <c r="M24" s="13"/>
    </row>
    <row r="25" spans="1:13" ht="12.75">
      <c r="A25" s="4"/>
      <c r="B25" s="184"/>
      <c r="C25" s="186"/>
      <c r="D25" s="185"/>
      <c r="E25" s="186"/>
      <c r="F25" s="186"/>
      <c r="G25" s="186"/>
      <c r="H25" s="186"/>
      <c r="I25" s="187"/>
      <c r="J25" s="13"/>
      <c r="K25" s="51"/>
      <c r="M25" s="13"/>
    </row>
    <row r="26" spans="1:13" ht="12.75">
      <c r="A26" s="4"/>
      <c r="B26" s="184"/>
      <c r="C26" s="186"/>
      <c r="D26" s="185"/>
      <c r="E26" s="186"/>
      <c r="F26" s="186"/>
      <c r="G26" s="186"/>
      <c r="H26" s="186"/>
      <c r="I26" s="187"/>
      <c r="J26" s="13"/>
      <c r="K26" s="51"/>
      <c r="M26" s="13"/>
    </row>
    <row r="27" spans="1:13" ht="12.75">
      <c r="A27" s="4"/>
      <c r="B27" s="184"/>
      <c r="C27" s="186"/>
      <c r="D27" s="185"/>
      <c r="E27" s="186"/>
      <c r="F27" s="186"/>
      <c r="G27" s="186"/>
      <c r="H27" s="186"/>
      <c r="I27" s="187"/>
      <c r="J27" s="13"/>
      <c r="K27" s="51"/>
      <c r="M27" s="13"/>
    </row>
    <row r="28" spans="1:13" ht="12.75">
      <c r="A28" s="4"/>
      <c r="B28" s="184"/>
      <c r="C28" s="186"/>
      <c r="D28" s="185"/>
      <c r="E28" s="186"/>
      <c r="F28" s="186"/>
      <c r="G28" s="186"/>
      <c r="H28" s="186"/>
      <c r="I28" s="187"/>
      <c r="J28" s="13"/>
      <c r="K28" s="51"/>
      <c r="M28" s="13"/>
    </row>
    <row r="29" spans="1:13" ht="12.75">
      <c r="A29" s="4"/>
      <c r="B29" s="184"/>
      <c r="C29" s="186"/>
      <c r="D29" s="185"/>
      <c r="E29" s="186"/>
      <c r="F29" s="186"/>
      <c r="G29" s="186"/>
      <c r="H29" s="186"/>
      <c r="I29" s="187"/>
      <c r="J29" s="13"/>
      <c r="K29" s="51"/>
      <c r="M29" s="13"/>
    </row>
    <row r="30" spans="1:13" ht="12.75">
      <c r="A30" s="4"/>
      <c r="B30" s="184"/>
      <c r="C30" s="186"/>
      <c r="D30" s="185"/>
      <c r="E30" s="186"/>
      <c r="F30" s="186"/>
      <c r="G30" s="186"/>
      <c r="H30" s="186"/>
      <c r="I30" s="187"/>
      <c r="J30" s="13"/>
      <c r="K30" s="51"/>
      <c r="M30" s="13"/>
    </row>
    <row r="31" spans="1:13" ht="12.75">
      <c r="A31" s="4"/>
      <c r="B31" s="188"/>
      <c r="C31" s="190"/>
      <c r="D31" s="189"/>
      <c r="E31" s="190"/>
      <c r="F31" s="190"/>
      <c r="G31" s="190"/>
      <c r="H31" s="190"/>
      <c r="I31" s="191"/>
      <c r="J31" s="13"/>
      <c r="K31" s="51"/>
      <c r="M31" s="13"/>
    </row>
  </sheetData>
  <sheetProtection password="CAD5" sheet="1"/>
  <conditionalFormatting sqref="B21:I31 B13:I18 C11:I12 A1:I7 B8:I9 A8:A18">
    <cfRule type="expression" priority="5" dxfId="0" stopIfTrue="1">
      <formula>CELL("protect",A1)</formula>
    </cfRule>
  </conditionalFormatting>
  <conditionalFormatting sqref="A19:A31 B19:I20">
    <cfRule type="expression" priority="6" dxfId="0" stopIfTrue="1">
      <formula>CELL("protect",$A$1)</formula>
    </cfRule>
  </conditionalFormatting>
  <conditionalFormatting sqref="B11:B12">
    <cfRule type="expression" priority="4" dxfId="0" stopIfTrue="1">
      <formula>CELL("protect",B11)</formula>
    </cfRule>
  </conditionalFormatting>
  <conditionalFormatting sqref="C10:I10">
    <cfRule type="expression" priority="3" dxfId="0" stopIfTrue="1">
      <formula>CELL("protect",C10)</formula>
    </cfRule>
  </conditionalFormatting>
  <conditionalFormatting sqref="B10">
    <cfRule type="expression" priority="1" dxfId="0" stopIfTrue="1">
      <formula>CELL("protect",B10)</formula>
    </cfRule>
  </conditionalFormatting>
  <printOptions/>
  <pageMargins left="0.5" right="0.5" top="0.92" bottom="0.31" header="0.48" footer="0"/>
  <pageSetup blackAndWhite="1" fitToHeight="1" fitToWidth="1" horizontalDpi="600" verticalDpi="600" orientation="landscape" scale="91"/>
  <headerFooter alignWithMargins="0">
    <oddHeader>&amp;C&amp;16Total State Revenue Table</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D5" sqref="D5"/>
    </sheetView>
  </sheetViews>
  <sheetFormatPr defaultColWidth="9.140625" defaultRowHeight="12.75"/>
  <cols>
    <col min="1" max="1" width="4.8515625" style="3" customWidth="1"/>
    <col min="2" max="2" width="27.140625" style="3" customWidth="1"/>
    <col min="3" max="3" width="13.421875" style="3" customWidth="1"/>
    <col min="4" max="4" width="17.421875" style="3" customWidth="1"/>
    <col min="5" max="5" width="9.00390625" style="3" customWidth="1"/>
    <col min="6" max="6" width="19.28125" style="3" customWidth="1"/>
    <col min="7" max="7" width="17.00390625" style="41" customWidth="1"/>
    <col min="8" max="8" width="9.00390625" style="3" customWidth="1"/>
    <col min="9" max="9" width="17.421875" style="13" customWidth="1"/>
    <col min="10" max="16384" width="11.421875" style="3" customWidth="1"/>
  </cols>
  <sheetData>
    <row r="1" spans="2:9" ht="38.25">
      <c r="B1" s="39" t="s">
        <v>75</v>
      </c>
      <c r="C1" s="170" t="str">
        <f>Headers!A1</f>
        <v>Preliminary Actual
2014-15</v>
      </c>
      <c r="D1" s="171" t="str">
        <f>Headers!B1</f>
        <v>Budgeted
2015-16 </v>
      </c>
      <c r="E1" s="39" t="s">
        <v>296</v>
      </c>
      <c r="F1" s="16" t="s">
        <v>307</v>
      </c>
      <c r="G1" s="171" t="str">
        <f>Headers!C1</f>
        <v>Estimated
2016-17</v>
      </c>
      <c r="H1" s="16" t="s">
        <v>296</v>
      </c>
      <c r="I1" s="16" t="s">
        <v>307</v>
      </c>
    </row>
    <row r="2" spans="1:9" ht="12.75">
      <c r="A2" s="3">
        <v>1</v>
      </c>
      <c r="B2" s="40" t="s">
        <v>91</v>
      </c>
      <c r="C2" s="24">
        <v>0</v>
      </c>
      <c r="D2" s="24">
        <v>0</v>
      </c>
      <c r="E2" s="21" t="str">
        <f aca="true" t="shared" si="0" ref="E2:E24">IF(C2=0,"NA",(D2-C2)/C2)</f>
        <v>NA</v>
      </c>
      <c r="F2" s="146"/>
      <c r="G2" s="24">
        <v>0</v>
      </c>
      <c r="H2" s="21" t="str">
        <f>IF(D2=0,"NA",(G2-D2)/D2)</f>
        <v>NA</v>
      </c>
      <c r="I2" s="30"/>
    </row>
    <row r="3" spans="1:9" ht="12.75">
      <c r="A3" s="3">
        <f>A2+1</f>
        <v>2</v>
      </c>
      <c r="B3" s="40" t="s">
        <v>76</v>
      </c>
      <c r="C3" s="24">
        <v>77905</v>
      </c>
      <c r="D3" s="24">
        <v>78775</v>
      </c>
      <c r="E3" s="21">
        <f t="shared" si="0"/>
        <v>0.011167447532250819</v>
      </c>
      <c r="F3" s="146"/>
      <c r="G3" s="24">
        <v>78775</v>
      </c>
      <c r="H3" s="21">
        <f aca="true" t="shared" si="1" ref="H3:H24">IF(D3=0,"NA",(G3-D3)/D3)</f>
        <v>0</v>
      </c>
      <c r="I3" s="30"/>
    </row>
    <row r="4" spans="1:9" ht="12.75">
      <c r="A4" s="3">
        <f aca="true" t="shared" si="2" ref="A4:A26">A3+1</f>
        <v>3</v>
      </c>
      <c r="B4" s="40" t="s">
        <v>147</v>
      </c>
      <c r="C4" s="24">
        <v>3470</v>
      </c>
      <c r="D4" s="24">
        <v>3353</v>
      </c>
      <c r="E4" s="21">
        <f t="shared" si="0"/>
        <v>-0.03371757925072046</v>
      </c>
      <c r="F4" s="146"/>
      <c r="G4" s="24">
        <v>0</v>
      </c>
      <c r="H4" s="21">
        <f t="shared" si="1"/>
        <v>-1</v>
      </c>
      <c r="I4" s="30"/>
    </row>
    <row r="5" spans="1:9" ht="12.75">
      <c r="A5" s="3">
        <f t="shared" si="2"/>
        <v>4</v>
      </c>
      <c r="B5" s="40" t="s">
        <v>77</v>
      </c>
      <c r="C5" s="24">
        <v>978</v>
      </c>
      <c r="D5" s="24">
        <v>1000</v>
      </c>
      <c r="E5" s="21">
        <f t="shared" si="0"/>
        <v>0.022494887525562373</v>
      </c>
      <c r="F5" s="273"/>
      <c r="G5" s="24">
        <v>1000</v>
      </c>
      <c r="H5" s="21">
        <f t="shared" si="1"/>
        <v>0</v>
      </c>
      <c r="I5" s="30"/>
    </row>
    <row r="6" spans="1:9" ht="12.75">
      <c r="A6" s="3">
        <f t="shared" si="2"/>
        <v>5</v>
      </c>
      <c r="B6" s="40" t="s">
        <v>148</v>
      </c>
      <c r="C6" s="24">
        <v>0</v>
      </c>
      <c r="D6" s="24">
        <v>0</v>
      </c>
      <c r="E6" s="21" t="str">
        <f t="shared" si="0"/>
        <v>NA</v>
      </c>
      <c r="F6" s="146"/>
      <c r="G6" s="24">
        <v>0</v>
      </c>
      <c r="H6" s="21" t="str">
        <f t="shared" si="1"/>
        <v>NA</v>
      </c>
      <c r="I6" s="30"/>
    </row>
    <row r="7" spans="1:9" ht="12.75">
      <c r="A7" s="3">
        <f t="shared" si="2"/>
        <v>6</v>
      </c>
      <c r="B7" s="40" t="s">
        <v>78</v>
      </c>
      <c r="C7" s="24">
        <v>208366.49</v>
      </c>
      <c r="D7" s="24">
        <v>245764</v>
      </c>
      <c r="E7" s="21">
        <f t="shared" si="0"/>
        <v>0.17947948348124504</v>
      </c>
      <c r="F7" s="146"/>
      <c r="G7" s="24">
        <v>245000</v>
      </c>
      <c r="H7" s="21">
        <f t="shared" si="1"/>
        <v>-0.0031086733614361746</v>
      </c>
      <c r="I7" s="30"/>
    </row>
    <row r="8" spans="1:9" ht="12.75">
      <c r="A8" s="3">
        <f t="shared" si="2"/>
        <v>7</v>
      </c>
      <c r="B8" s="40" t="s">
        <v>79</v>
      </c>
      <c r="C8" s="24">
        <v>0</v>
      </c>
      <c r="D8" s="24">
        <v>0</v>
      </c>
      <c r="E8" s="21" t="str">
        <f t="shared" si="0"/>
        <v>NA</v>
      </c>
      <c r="F8" s="146"/>
      <c r="G8" s="24">
        <v>0</v>
      </c>
      <c r="H8" s="21" t="str">
        <f t="shared" si="1"/>
        <v>NA</v>
      </c>
      <c r="I8" s="30"/>
    </row>
    <row r="9" spans="1:9" ht="12.75">
      <c r="A9" s="3">
        <f t="shared" si="2"/>
        <v>8</v>
      </c>
      <c r="B9" s="40" t="s">
        <v>80</v>
      </c>
      <c r="C9" s="24">
        <v>0</v>
      </c>
      <c r="D9" s="24">
        <v>0</v>
      </c>
      <c r="E9" s="21" t="str">
        <f t="shared" si="0"/>
        <v>NA</v>
      </c>
      <c r="F9" s="146"/>
      <c r="G9" s="24">
        <v>0</v>
      </c>
      <c r="H9" s="21" t="str">
        <f t="shared" si="1"/>
        <v>NA</v>
      </c>
      <c r="I9" s="30"/>
    </row>
    <row r="10" spans="1:9" ht="12.75">
      <c r="A10" s="3">
        <f t="shared" si="2"/>
        <v>9</v>
      </c>
      <c r="B10" s="40" t="s">
        <v>99</v>
      </c>
      <c r="C10" s="24">
        <v>0</v>
      </c>
      <c r="D10" s="24">
        <v>0</v>
      </c>
      <c r="E10" s="21" t="str">
        <f t="shared" si="0"/>
        <v>NA</v>
      </c>
      <c r="F10" s="146"/>
      <c r="G10" s="24">
        <v>0</v>
      </c>
      <c r="H10" s="21" t="str">
        <f t="shared" si="1"/>
        <v>NA</v>
      </c>
      <c r="I10" s="30"/>
    </row>
    <row r="11" spans="1:9" ht="12.75">
      <c r="A11" s="3">
        <f t="shared" si="2"/>
        <v>10</v>
      </c>
      <c r="B11" s="40" t="s">
        <v>81</v>
      </c>
      <c r="C11" s="24">
        <v>0</v>
      </c>
      <c r="D11" s="24">
        <v>0</v>
      </c>
      <c r="E11" s="21" t="str">
        <f t="shared" si="0"/>
        <v>NA</v>
      </c>
      <c r="F11" s="146"/>
      <c r="G11" s="24">
        <v>0</v>
      </c>
      <c r="H11" s="21" t="str">
        <f t="shared" si="1"/>
        <v>NA</v>
      </c>
      <c r="I11" s="30"/>
    </row>
    <row r="12" spans="1:9" ht="12.75">
      <c r="A12" s="3">
        <f t="shared" si="2"/>
        <v>11</v>
      </c>
      <c r="B12" s="40" t="s">
        <v>82</v>
      </c>
      <c r="C12" s="24">
        <v>0</v>
      </c>
      <c r="D12" s="24">
        <v>0</v>
      </c>
      <c r="E12" s="21" t="str">
        <f t="shared" si="0"/>
        <v>NA</v>
      </c>
      <c r="F12" s="146"/>
      <c r="G12" s="24">
        <v>0</v>
      </c>
      <c r="H12" s="21" t="str">
        <f t="shared" si="1"/>
        <v>NA</v>
      </c>
      <c r="I12" s="30"/>
    </row>
    <row r="13" spans="1:9" ht="12.75">
      <c r="A13" s="3">
        <f t="shared" si="2"/>
        <v>12</v>
      </c>
      <c r="B13" s="40" t="s">
        <v>83</v>
      </c>
      <c r="C13" s="24">
        <v>0</v>
      </c>
      <c r="D13" s="24">
        <v>0</v>
      </c>
      <c r="E13" s="21" t="str">
        <f t="shared" si="0"/>
        <v>NA</v>
      </c>
      <c r="F13" s="146"/>
      <c r="G13" s="24">
        <v>0</v>
      </c>
      <c r="H13" s="21" t="str">
        <f t="shared" si="1"/>
        <v>NA</v>
      </c>
      <c r="I13" s="30"/>
    </row>
    <row r="14" spans="1:9" ht="12.75">
      <c r="A14" s="3">
        <f t="shared" si="2"/>
        <v>13</v>
      </c>
      <c r="B14" s="40" t="s">
        <v>84</v>
      </c>
      <c r="C14" s="24">
        <v>0</v>
      </c>
      <c r="D14" s="24">
        <v>0</v>
      </c>
      <c r="E14" s="21" t="str">
        <f t="shared" si="0"/>
        <v>NA</v>
      </c>
      <c r="F14" s="146"/>
      <c r="G14" s="24">
        <v>0</v>
      </c>
      <c r="H14" s="21" t="str">
        <f t="shared" si="1"/>
        <v>NA</v>
      </c>
      <c r="I14" s="30"/>
    </row>
    <row r="15" spans="1:9" ht="12.75">
      <c r="A15" s="3">
        <f t="shared" si="2"/>
        <v>14</v>
      </c>
      <c r="B15" s="40" t="s">
        <v>85</v>
      </c>
      <c r="C15" s="24">
        <v>0</v>
      </c>
      <c r="D15" s="24">
        <v>0</v>
      </c>
      <c r="E15" s="21" t="str">
        <f t="shared" si="0"/>
        <v>NA</v>
      </c>
      <c r="F15" s="146"/>
      <c r="G15" s="24">
        <v>0</v>
      </c>
      <c r="H15" s="21" t="str">
        <f t="shared" si="1"/>
        <v>NA</v>
      </c>
      <c r="I15" s="30"/>
    </row>
    <row r="16" spans="1:9" ht="12.75">
      <c r="A16" s="3">
        <f t="shared" si="2"/>
        <v>15</v>
      </c>
      <c r="B16" s="40" t="s">
        <v>86</v>
      </c>
      <c r="C16" s="24">
        <v>0</v>
      </c>
      <c r="D16" s="24">
        <v>0</v>
      </c>
      <c r="E16" s="21" t="str">
        <f t="shared" si="0"/>
        <v>NA</v>
      </c>
      <c r="F16" s="146"/>
      <c r="G16" s="24">
        <v>0</v>
      </c>
      <c r="H16" s="21" t="str">
        <f t="shared" si="1"/>
        <v>NA</v>
      </c>
      <c r="I16" s="30"/>
    </row>
    <row r="17" spans="1:9" ht="12.75">
      <c r="A17" s="3">
        <f t="shared" si="2"/>
        <v>16</v>
      </c>
      <c r="B17" s="40" t="s">
        <v>87</v>
      </c>
      <c r="C17" s="24">
        <v>0</v>
      </c>
      <c r="D17" s="24">
        <v>0</v>
      </c>
      <c r="E17" s="21" t="str">
        <f t="shared" si="0"/>
        <v>NA</v>
      </c>
      <c r="F17" s="146"/>
      <c r="G17" s="24">
        <v>0</v>
      </c>
      <c r="H17" s="21" t="str">
        <f t="shared" si="1"/>
        <v>NA</v>
      </c>
      <c r="I17" s="30"/>
    </row>
    <row r="18" spans="1:9" ht="12.75">
      <c r="A18" s="3">
        <f t="shared" si="2"/>
        <v>17</v>
      </c>
      <c r="B18" s="40" t="s">
        <v>88</v>
      </c>
      <c r="C18" s="24">
        <v>0</v>
      </c>
      <c r="D18" s="24">
        <v>0</v>
      </c>
      <c r="E18" s="21" t="str">
        <f t="shared" si="0"/>
        <v>NA</v>
      </c>
      <c r="F18" s="146"/>
      <c r="G18" s="24">
        <v>0</v>
      </c>
      <c r="H18" s="21" t="str">
        <f t="shared" si="1"/>
        <v>NA</v>
      </c>
      <c r="I18" s="30"/>
    </row>
    <row r="19" spans="1:9" ht="25.5">
      <c r="A19" s="3">
        <f t="shared" si="2"/>
        <v>18</v>
      </c>
      <c r="B19" s="40" t="s">
        <v>89</v>
      </c>
      <c r="C19" s="24">
        <v>7037.43</v>
      </c>
      <c r="D19" s="24">
        <v>92840</v>
      </c>
      <c r="E19" s="21">
        <f t="shared" si="0"/>
        <v>12.192315944883289</v>
      </c>
      <c r="F19" s="273" t="s">
        <v>483</v>
      </c>
      <c r="G19" s="24">
        <v>92000</v>
      </c>
      <c r="H19" s="21">
        <f t="shared" si="1"/>
        <v>-0.00904782421370099</v>
      </c>
      <c r="I19" s="30"/>
    </row>
    <row r="20" spans="1:9" ht="12.75">
      <c r="A20" s="3">
        <f t="shared" si="2"/>
        <v>19</v>
      </c>
      <c r="B20" s="40" t="s">
        <v>90</v>
      </c>
      <c r="C20" s="24">
        <v>0</v>
      </c>
      <c r="D20" s="24">
        <v>0</v>
      </c>
      <c r="E20" s="21" t="str">
        <f t="shared" si="0"/>
        <v>NA</v>
      </c>
      <c r="F20" s="146"/>
      <c r="G20" s="24">
        <v>0</v>
      </c>
      <c r="H20" s="21" t="str">
        <f t="shared" si="1"/>
        <v>NA</v>
      </c>
      <c r="I20" s="30"/>
    </row>
    <row r="21" spans="1:9" ht="12.75">
      <c r="A21" s="3">
        <f t="shared" si="2"/>
        <v>20</v>
      </c>
      <c r="B21" s="40" t="s">
        <v>149</v>
      </c>
      <c r="C21" s="24">
        <v>0</v>
      </c>
      <c r="D21" s="24">
        <v>0</v>
      </c>
      <c r="E21" s="21" t="str">
        <f t="shared" si="0"/>
        <v>NA</v>
      </c>
      <c r="F21" s="146"/>
      <c r="G21" s="24">
        <v>0</v>
      </c>
      <c r="H21" s="21" t="str">
        <f t="shared" si="1"/>
        <v>NA</v>
      </c>
      <c r="I21" s="30"/>
    </row>
    <row r="22" spans="1:9" ht="12.75">
      <c r="A22" s="3">
        <f t="shared" si="2"/>
        <v>21</v>
      </c>
      <c r="B22" s="40" t="s">
        <v>294</v>
      </c>
      <c r="C22" s="20">
        <v>0</v>
      </c>
      <c r="D22" s="24">
        <v>0</v>
      </c>
      <c r="E22" s="21" t="str">
        <f t="shared" si="0"/>
        <v>NA</v>
      </c>
      <c r="F22" s="146"/>
      <c r="G22" s="24">
        <v>0</v>
      </c>
      <c r="H22" s="21" t="str">
        <f t="shared" si="1"/>
        <v>NA</v>
      </c>
      <c r="I22" s="30"/>
    </row>
    <row r="23" spans="1:9" ht="12.75">
      <c r="A23" s="3">
        <f t="shared" si="2"/>
        <v>22</v>
      </c>
      <c r="B23" s="40" t="s">
        <v>40</v>
      </c>
      <c r="C23" s="24">
        <v>21264</v>
      </c>
      <c r="D23" s="24">
        <f>21264+2500</f>
        <v>23764</v>
      </c>
      <c r="E23" s="21">
        <f t="shared" si="0"/>
        <v>0.11756960120391272</v>
      </c>
      <c r="F23" s="273" t="s">
        <v>484</v>
      </c>
      <c r="G23" s="24">
        <v>23764</v>
      </c>
      <c r="H23" s="21">
        <f t="shared" si="1"/>
        <v>0</v>
      </c>
      <c r="I23" s="30"/>
    </row>
    <row r="24" spans="1:9" ht="12.75">
      <c r="A24" s="3">
        <f t="shared" si="2"/>
        <v>23</v>
      </c>
      <c r="B24" s="40" t="s">
        <v>116</v>
      </c>
      <c r="C24" s="24">
        <v>0</v>
      </c>
      <c r="D24" s="24">
        <v>0</v>
      </c>
      <c r="E24" s="21" t="str">
        <f t="shared" si="0"/>
        <v>NA</v>
      </c>
      <c r="F24" s="146"/>
      <c r="G24" s="24">
        <v>0</v>
      </c>
      <c r="H24" s="21" t="str">
        <f t="shared" si="1"/>
        <v>NA</v>
      </c>
      <c r="I24" s="30"/>
    </row>
    <row r="25" spans="1:9" ht="38.25">
      <c r="A25" s="3">
        <f t="shared" si="2"/>
        <v>24</v>
      </c>
      <c r="B25" s="23" t="s">
        <v>295</v>
      </c>
      <c r="C25" s="6">
        <f>SUM(C3:C24)</f>
        <v>319020.92</v>
      </c>
      <c r="D25" s="6">
        <f>SUM(D3:D24)</f>
        <v>445496</v>
      </c>
      <c r="E25" s="26">
        <f>IF(C25=0,"NA",(D25-C25)/C25)</f>
        <v>0.3964476060065278</v>
      </c>
      <c r="F25" s="26"/>
      <c r="G25" s="6">
        <f>SUM(G3:G24)</f>
        <v>440539</v>
      </c>
      <c r="H25" s="26">
        <f>IF(D25=0,"NA",(G25-D25)/D25)</f>
        <v>-0.01112692369852928</v>
      </c>
      <c r="I25" s="23"/>
    </row>
    <row r="26" spans="1:9" ht="38.25">
      <c r="A26" s="3">
        <f t="shared" si="2"/>
        <v>25</v>
      </c>
      <c r="B26" s="23" t="s">
        <v>100</v>
      </c>
      <c r="C26" s="6">
        <f>SUM(C2:C24)</f>
        <v>319020.92</v>
      </c>
      <c r="D26" s="6">
        <f>SUM(D2:D24)</f>
        <v>445496</v>
      </c>
      <c r="E26" s="26">
        <f>IF(C26=0,"NA",(D26-C26)/C26)</f>
        <v>0.3964476060065278</v>
      </c>
      <c r="F26" s="26"/>
      <c r="G26" s="6">
        <f>SUM(G2:G24)</f>
        <v>440539</v>
      </c>
      <c r="H26" s="26">
        <f>IF(D26=0,"NA",(G26-D26)/D26)</f>
        <v>-0.01112692369852928</v>
      </c>
      <c r="I26" s="23"/>
    </row>
    <row r="27" ht="12.75">
      <c r="B27" s="175" t="s">
        <v>98</v>
      </c>
    </row>
    <row r="28" spans="2:3" ht="12.75">
      <c r="B28" s="145" t="s">
        <v>150</v>
      </c>
      <c r="C28" s="145"/>
    </row>
    <row r="29" spans="1:13" ht="12.75">
      <c r="A29" s="4"/>
      <c r="B29" s="28"/>
      <c r="C29" s="178"/>
      <c r="E29" s="178"/>
      <c r="F29" s="178"/>
      <c r="G29" s="178"/>
      <c r="H29" s="178"/>
      <c r="I29" s="28"/>
      <c r="J29" s="13"/>
      <c r="K29" s="51"/>
      <c r="M29" s="13"/>
    </row>
    <row r="30" spans="1:13" ht="12.75">
      <c r="A30" s="4"/>
      <c r="B30" s="179" t="s">
        <v>357</v>
      </c>
      <c r="C30" s="178"/>
      <c r="E30" s="178"/>
      <c r="F30" s="178"/>
      <c r="G30" s="178"/>
      <c r="H30" s="178"/>
      <c r="I30" s="28"/>
      <c r="J30" s="13"/>
      <c r="K30" s="51"/>
      <c r="M30" s="13"/>
    </row>
    <row r="31" spans="1:13" ht="12.75">
      <c r="A31" s="4"/>
      <c r="B31" s="180"/>
      <c r="C31" s="182"/>
      <c r="D31" s="181"/>
      <c r="E31" s="182"/>
      <c r="F31" s="182"/>
      <c r="G31" s="182"/>
      <c r="H31" s="182"/>
      <c r="I31" s="183"/>
      <c r="J31" s="13"/>
      <c r="K31" s="51"/>
      <c r="M31" s="13"/>
    </row>
    <row r="32" spans="1:13" ht="12.75">
      <c r="A32" s="4"/>
      <c r="B32" s="184"/>
      <c r="C32" s="186"/>
      <c r="D32" s="185"/>
      <c r="E32" s="186"/>
      <c r="F32" s="186"/>
      <c r="G32" s="186"/>
      <c r="H32" s="186"/>
      <c r="I32" s="187"/>
      <c r="J32" s="13"/>
      <c r="K32" s="51"/>
      <c r="M32" s="13"/>
    </row>
    <row r="33" spans="1:13" ht="12.75">
      <c r="A33" s="4"/>
      <c r="B33" s="184"/>
      <c r="C33" s="186"/>
      <c r="D33" s="185"/>
      <c r="E33" s="186"/>
      <c r="F33" s="186"/>
      <c r="G33" s="186"/>
      <c r="H33" s="186"/>
      <c r="I33" s="187"/>
      <c r="J33" s="13"/>
      <c r="K33" s="51"/>
      <c r="M33" s="13"/>
    </row>
    <row r="34" spans="1:13" ht="12.75">
      <c r="A34" s="4"/>
      <c r="B34" s="184"/>
      <c r="C34" s="186"/>
      <c r="D34" s="185"/>
      <c r="E34" s="186"/>
      <c r="F34" s="186"/>
      <c r="G34" s="186"/>
      <c r="H34" s="186"/>
      <c r="I34" s="187"/>
      <c r="J34" s="13"/>
      <c r="K34" s="51"/>
      <c r="M34" s="13"/>
    </row>
    <row r="35" spans="1:13" ht="12.75">
      <c r="A35" s="4"/>
      <c r="B35" s="184"/>
      <c r="C35" s="186"/>
      <c r="D35" s="185"/>
      <c r="E35" s="186"/>
      <c r="F35" s="186"/>
      <c r="G35" s="186"/>
      <c r="H35" s="186"/>
      <c r="I35" s="187"/>
      <c r="J35" s="13"/>
      <c r="K35" s="51"/>
      <c r="M35" s="13"/>
    </row>
    <row r="36" spans="1:13" ht="12.75">
      <c r="A36" s="4"/>
      <c r="B36" s="184"/>
      <c r="C36" s="186"/>
      <c r="D36" s="185"/>
      <c r="E36" s="186"/>
      <c r="F36" s="186"/>
      <c r="G36" s="186"/>
      <c r="H36" s="186"/>
      <c r="I36" s="187"/>
      <c r="J36" s="13"/>
      <c r="K36" s="51"/>
      <c r="M36" s="13"/>
    </row>
    <row r="37" spans="1:13" ht="12.75">
      <c r="A37" s="4"/>
      <c r="B37" s="184"/>
      <c r="C37" s="186"/>
      <c r="D37" s="185"/>
      <c r="E37" s="186"/>
      <c r="F37" s="186"/>
      <c r="G37" s="186"/>
      <c r="H37" s="186"/>
      <c r="I37" s="187"/>
      <c r="J37" s="13"/>
      <c r="K37" s="51"/>
      <c r="M37" s="13"/>
    </row>
    <row r="38" spans="1:13" ht="12.75">
      <c r="A38" s="4"/>
      <c r="B38" s="184"/>
      <c r="C38" s="186"/>
      <c r="D38" s="185"/>
      <c r="E38" s="186"/>
      <c r="F38" s="186"/>
      <c r="G38" s="186"/>
      <c r="H38" s="186"/>
      <c r="I38" s="187"/>
      <c r="J38" s="13"/>
      <c r="K38" s="51"/>
      <c r="M38" s="13"/>
    </row>
    <row r="39" spans="1:13" ht="12.75">
      <c r="A39" s="4"/>
      <c r="B39" s="184"/>
      <c r="C39" s="186"/>
      <c r="D39" s="185"/>
      <c r="E39" s="186"/>
      <c r="F39" s="186"/>
      <c r="G39" s="186"/>
      <c r="H39" s="186"/>
      <c r="I39" s="187"/>
      <c r="J39" s="13"/>
      <c r="K39" s="51"/>
      <c r="M39" s="13"/>
    </row>
    <row r="40" spans="1:13" ht="12.75">
      <c r="A40" s="4"/>
      <c r="B40" s="184"/>
      <c r="C40" s="186"/>
      <c r="D40" s="185"/>
      <c r="E40" s="186"/>
      <c r="F40" s="186"/>
      <c r="G40" s="186"/>
      <c r="H40" s="186"/>
      <c r="I40" s="187"/>
      <c r="J40" s="13"/>
      <c r="K40" s="51"/>
      <c r="M40" s="13"/>
    </row>
    <row r="41" spans="1:13" ht="12.75">
      <c r="A41" s="4"/>
      <c r="B41" s="188"/>
      <c r="C41" s="190"/>
      <c r="D41" s="189"/>
      <c r="E41" s="190"/>
      <c r="F41" s="190"/>
      <c r="G41" s="190"/>
      <c r="H41" s="190"/>
      <c r="I41" s="191"/>
      <c r="J41" s="13"/>
      <c r="K41" s="51"/>
      <c r="M41" s="13"/>
    </row>
  </sheetData>
  <sheetProtection password="CAD5" sheet="1"/>
  <conditionalFormatting sqref="A1:I28 B31:I41">
    <cfRule type="expression" priority="1" dxfId="0" stopIfTrue="1">
      <formula>CELL("protect",A1)</formula>
    </cfRule>
  </conditionalFormatting>
  <conditionalFormatting sqref="A29:A41 B29:I30">
    <cfRule type="expression" priority="2" dxfId="0" stopIfTrue="1">
      <formula>CELL("protect",$A$1)</formula>
    </cfRule>
  </conditionalFormatting>
  <printOptions/>
  <pageMargins left="0.5" right="0.5" top="1.06" bottom="0.31" header="0.49" footer="0"/>
  <pageSetup blackAndWhite="1" fitToHeight="1" fitToWidth="1" horizontalDpi="600" verticalDpi="600" orientation="landscape" scale="87"/>
  <headerFooter alignWithMargins="0">
    <oddHeader>&amp;C&amp;16Federal Revenue Table</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Comstock Park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Comstock Park Public Schools</dc:creator>
  <cp:keywords/>
  <dc:description/>
  <cp:lastModifiedBy>Keegan</cp:lastModifiedBy>
  <cp:lastPrinted>2015-09-14T12:58:06Z</cp:lastPrinted>
  <dcterms:created xsi:type="dcterms:W3CDTF">1999-06-25T12:20:38Z</dcterms:created>
  <dcterms:modified xsi:type="dcterms:W3CDTF">2015-09-14T17:40:10Z</dcterms:modified>
  <cp:category/>
  <cp:version/>
  <cp:contentType/>
  <cp:contentStatus/>
</cp:coreProperties>
</file>